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sic model" sheetId="1" r:id="rId1"/>
    <sheet name="Mortgage model" sheetId="2" r:id="rId2"/>
  </sheets>
  <externalReferences>
    <externalReference r:id="rId5"/>
  </externalReferences>
  <definedNames>
    <definedName name="__123Graph_A" localSheetId="1" hidden="1">'Mortgage model'!$A$12:$A$57</definedName>
    <definedName name="__123Graph_B" localSheetId="1" hidden="1">'Mortgage model'!$B$12:$B$57</definedName>
    <definedName name="__123Graph_C" localSheetId="1" hidden="1">'Mortgage model'!$C$12:$C$57</definedName>
    <definedName name="__123Graph_D" localSheetId="1" hidden="1">'Mortgage model'!$D$12:$D$57</definedName>
    <definedName name="__123Graph_E" localSheetId="1" hidden="1">'Mortgage model'!$E$12:$E$58</definedName>
    <definedName name="__123Graph_F" localSheetId="1" hidden="1">'Mortgage model'!$F$12:$F$58</definedName>
    <definedName name="_Regression_Int" localSheetId="1" hidden="1">1</definedName>
    <definedName name="commage">'Basic model'!$F$4</definedName>
    <definedName name="contrate">'Basic model'!$F$15</definedName>
    <definedName name="earn">'Basic model'!$F$17</definedName>
    <definedName name="earntax">'Basic model'!$F$18</definedName>
    <definedName name="feesabs">'Basic model'!$F$20</definedName>
    <definedName name="feescap">'Basic model'!$F$19</definedName>
    <definedName name="feescont">'Basic model'!$F$21</definedName>
    <definedName name="finage">'Basic model'!$F$5</definedName>
    <definedName name="finsal">'Basic model'!$F$7</definedName>
    <definedName name="outdur">'Basic model'!$F$11</definedName>
    <definedName name="outfrac">'Basic model'!$F$12</definedName>
    <definedName name="outstart">'Basic model'!$F$13</definedName>
    <definedName name="payment" localSheetId="1">'Mortgage model'!$K$10</definedName>
    <definedName name="presage">'Basic model'!$F$9</definedName>
    <definedName name="_xlnm.Print_Area" localSheetId="1">'Mortgage model'!$A$1:$H$56</definedName>
    <definedName name="Print_Area_MI" localSheetId="1">'Mortgage model'!$A$1:$H$56</definedName>
    <definedName name="startsal">'Basic model'!$F$6</definedName>
    <definedName name="tax">'Basic model'!$F$16</definedName>
  </definedNames>
  <calcPr fullCalcOnLoad="1"/>
</workbook>
</file>

<file path=xl/comments2.xml><?xml version="1.0" encoding="utf-8"?>
<comments xmlns="http://schemas.openxmlformats.org/spreadsheetml/2006/main">
  <authors>
    <author>Ian McAuley</author>
  </authors>
  <commentList>
    <comment ref="C5" authorId="0">
      <text>
        <r>
          <rPr>
            <b/>
            <sz val="8"/>
            <rFont val="Tahoma"/>
            <family val="0"/>
          </rPr>
          <t>Equates to 1% of balance</t>
        </r>
      </text>
    </comment>
  </commentList>
</comments>
</file>

<file path=xl/sharedStrings.xml><?xml version="1.0" encoding="utf-8"?>
<sst xmlns="http://schemas.openxmlformats.org/spreadsheetml/2006/main" count="93" uniqueCount="81">
  <si>
    <t>Inputs</t>
  </si>
  <si>
    <t>Outputs</t>
  </si>
  <si>
    <t>Commencing age</t>
  </si>
  <si>
    <t>(&gt;16)</t>
  </si>
  <si>
    <t>Accumulation $'000</t>
  </si>
  <si>
    <t>Finishing age</t>
  </si>
  <si>
    <t>(55 to 65)</t>
  </si>
  <si>
    <t>Commencing salary</t>
  </si>
  <si>
    <t>$'000</t>
  </si>
  <si>
    <t>Annuity earning rate</t>
  </si>
  <si>
    <t>Final salary</t>
  </si>
  <si>
    <t>Years of annuity</t>
  </si>
  <si>
    <t>Preservation</t>
  </si>
  <si>
    <t>"y" or "n"</t>
  </si>
  <si>
    <t>Preservation to age</t>
  </si>
  <si>
    <t>Income $'000</t>
  </si>
  <si>
    <t>Years out of full time workforce</t>
  </si>
  <si>
    <t>Fraction employed</t>
  </si>
  <si>
    <t>(0 to 1)</t>
  </si>
  <si>
    <t>Starting age out of workforce</t>
  </si>
  <si>
    <t>Super contribution</t>
  </si>
  <si>
    <t>Tax</t>
  </si>
  <si>
    <t>Earning</t>
  </si>
  <si>
    <t>Fees - percent of capital</t>
  </si>
  <si>
    <t>Fees - absolute amount $</t>
  </si>
  <si>
    <t>Fees - percent of contribution</t>
  </si>
  <si>
    <t>Workings</t>
  </si>
  <si>
    <t>Superannuation account</t>
  </si>
  <si>
    <t>Age</t>
  </si>
  <si>
    <t>Income</t>
  </si>
  <si>
    <t>Lost years</t>
  </si>
  <si>
    <t>Super</t>
  </si>
  <si>
    <t>Fees</t>
  </si>
  <si>
    <t>Net</t>
  </si>
  <si>
    <t>Open balance</t>
  </si>
  <si>
    <t>Contribut-ion</t>
  </si>
  <si>
    <t>Close balance</t>
  </si>
  <si>
    <t>Earning tax</t>
  </si>
  <si>
    <t>Contribution tax</t>
  </si>
  <si>
    <t>Percent of av salary</t>
  </si>
  <si>
    <t>y</t>
  </si>
  <si>
    <t>Superannuation model</t>
  </si>
  <si>
    <t>Superannuation/Mortgage Model</t>
  </si>
  <si>
    <t>Results</t>
  </si>
  <si>
    <t>Real interest rate</t>
  </si>
  <si>
    <t>Loss through lost super</t>
  </si>
  <si>
    <t>Base mgt fee</t>
  </si>
  <si>
    <t>Gain through faster mortgage etc</t>
  </si>
  <si>
    <t>Commission Year 1</t>
  </si>
  <si>
    <t>Nett</t>
  </si>
  <si>
    <t>Basic Model</t>
  </si>
  <si>
    <t>Alternative Model - Permit Contribution to Mortgage</t>
  </si>
  <si>
    <t>Resultant lump sum - base case</t>
  </si>
  <si>
    <t>Personal saving</t>
  </si>
  <si>
    <t>Mortgage</t>
  </si>
  <si>
    <t>Spread</t>
  </si>
  <si>
    <t>Years</t>
  </si>
  <si>
    <t>Real</t>
  </si>
  <si>
    <t>Annual Payment</t>
  </si>
  <si>
    <t>Contribute to mortgage</t>
  </si>
  <si>
    <t>Revised Superannuation</t>
  </si>
  <si>
    <t>Revised Income</t>
  </si>
  <si>
    <t>E1</t>
  </si>
  <si>
    <t>E2</t>
  </si>
  <si>
    <t>9% super</t>
  </si>
  <si>
    <t>After tax (15%)</t>
  </si>
  <si>
    <t>After mgt fee</t>
  </si>
  <si>
    <t>Cont to LS</t>
  </si>
  <si>
    <t>Outstanding</t>
  </si>
  <si>
    <t>Interest</t>
  </si>
  <si>
    <t>Principal</t>
  </si>
  <si>
    <t>Balance to live on</t>
  </si>
  <si>
    <t>Principal in mort</t>
  </si>
  <si>
    <t>Super redirected (85%)</t>
  </si>
  <si>
    <t>Tax (balancing)</t>
  </si>
  <si>
    <t>8% super</t>
  </si>
  <si>
    <t>New</t>
  </si>
  <si>
    <t>Difference</t>
  </si>
  <si>
    <t>Lump sum accumulated</t>
  </si>
  <si>
    <t>Lost</t>
  </si>
  <si>
    <t>Gained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</si>
</sst>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d/m/yy"/>
    <numFmt numFmtId="176" formatCode="d/m/yy\ h:mm"/>
    <numFmt numFmtId="177" formatCode="General_)"/>
    <numFmt numFmtId="178" formatCode="0_)"/>
    <numFmt numFmtId="179" formatCode="0.000%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10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b/>
      <sz val="10"/>
      <color indexed="9"/>
      <name val="Helvetica"/>
      <family val="0"/>
    </font>
    <font>
      <sz val="10"/>
      <color indexed="9"/>
      <name val="Helvetica"/>
      <family val="0"/>
    </font>
    <font>
      <b/>
      <sz val="10"/>
      <name val="Helvetica"/>
      <family val="0"/>
    </font>
    <font>
      <sz val="10"/>
      <color indexed="43"/>
      <name val="Helvetica"/>
      <family val="0"/>
    </font>
    <font>
      <b/>
      <sz val="10"/>
      <color indexed="43"/>
      <name val="Helvetica"/>
      <family val="0"/>
    </font>
    <font>
      <sz val="10"/>
      <color indexed="26"/>
      <name val="Helvetica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thick">
        <color indexed="2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9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7" fontId="6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5" xfId="0" applyFont="1" applyFill="1" applyBorder="1" applyAlignment="1" applyProtection="1">
      <alignment/>
      <protection locked="0"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9" fontId="3" fillId="2" borderId="5" xfId="0" applyNumberFormat="1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2" borderId="5" xfId="0" applyFill="1" applyBorder="1" applyAlignment="1">
      <alignment/>
    </xf>
    <xf numFmtId="165" fontId="3" fillId="2" borderId="5" xfId="0" applyNumberFormat="1" applyFont="1" applyFill="1" applyBorder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5" fontId="3" fillId="2" borderId="8" xfId="0" applyNumberFormat="1" applyFont="1" applyFill="1" applyBorder="1" applyAlignment="1" applyProtection="1">
      <alignment/>
      <protection locked="0"/>
    </xf>
    <xf numFmtId="0" fontId="2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2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4" borderId="9" xfId="0" applyFill="1" applyBorder="1" applyAlignment="1">
      <alignment horizontal="right" vertical="top" wrapText="1"/>
    </xf>
    <xf numFmtId="0" fontId="0" fillId="4" borderId="10" xfId="0" applyFill="1" applyBorder="1" applyAlignment="1">
      <alignment horizontal="right" vertical="top" wrapText="1"/>
    </xf>
    <xf numFmtId="0" fontId="0" fillId="5" borderId="10" xfId="0" applyFill="1" applyBorder="1" applyAlignment="1">
      <alignment horizontal="right" vertical="top" wrapText="1"/>
    </xf>
    <xf numFmtId="0" fontId="0" fillId="5" borderId="11" xfId="0" applyFill="1" applyBorder="1" applyAlignment="1">
      <alignment horizontal="right" vertical="top" wrapText="1"/>
    </xf>
    <xf numFmtId="0" fontId="0" fillId="4" borderId="4" xfId="0" applyFill="1" applyBorder="1" applyAlignment="1">
      <alignment/>
    </xf>
    <xf numFmtId="2" fontId="0" fillId="4" borderId="0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4" fontId="2" fillId="3" borderId="5" xfId="0" applyNumberFormat="1" applyFont="1" applyFill="1" applyBorder="1" applyAlignment="1">
      <alignment/>
    </xf>
    <xf numFmtId="9" fontId="2" fillId="3" borderId="8" xfId="24" applyFont="1" applyFill="1" applyBorder="1" applyAlignment="1">
      <alignment/>
    </xf>
    <xf numFmtId="3" fontId="0" fillId="0" borderId="0" xfId="0" applyNumberFormat="1" applyAlignment="1">
      <alignment/>
    </xf>
    <xf numFmtId="177" fontId="7" fillId="0" borderId="0" xfId="23" applyFont="1">
      <alignment/>
      <protection/>
    </xf>
    <xf numFmtId="177" fontId="6" fillId="0" borderId="0" xfId="23">
      <alignment/>
      <protection/>
    </xf>
    <xf numFmtId="177" fontId="8" fillId="0" borderId="0" xfId="23" applyFont="1">
      <alignment/>
      <protection/>
    </xf>
    <xf numFmtId="177" fontId="6" fillId="0" borderId="0" xfId="23" applyAlignment="1" applyProtection="1">
      <alignment horizontal="left"/>
      <protection/>
    </xf>
    <xf numFmtId="177" fontId="9" fillId="6" borderId="0" xfId="23" applyFont="1" applyFill="1" applyAlignment="1">
      <alignment horizontal="centerContinuous"/>
      <protection/>
    </xf>
    <xf numFmtId="9" fontId="9" fillId="6" borderId="0" xfId="23" applyNumberFormat="1" applyFont="1" applyFill="1" applyAlignment="1" applyProtection="1">
      <alignment horizontal="centerContinuous"/>
      <protection/>
    </xf>
    <xf numFmtId="177" fontId="9" fillId="6" borderId="0" xfId="23" applyFont="1" applyFill="1" applyAlignment="1" applyProtection="1">
      <alignment horizontal="centerContinuous"/>
      <protection/>
    </xf>
    <xf numFmtId="3" fontId="9" fillId="6" borderId="0" xfId="23" applyNumberFormat="1" applyFont="1" applyFill="1" applyAlignment="1" applyProtection="1">
      <alignment horizontal="centerContinuous"/>
      <protection/>
    </xf>
    <xf numFmtId="177" fontId="6" fillId="7" borderId="0" xfId="23" applyFill="1" applyAlignment="1" applyProtection="1">
      <alignment horizontal="left"/>
      <protection/>
    </xf>
    <xf numFmtId="177" fontId="6" fillId="7" borderId="0" xfId="23" applyFill="1">
      <alignment/>
      <protection/>
    </xf>
    <xf numFmtId="9" fontId="6" fillId="7" borderId="0" xfId="23" applyNumberFormat="1" applyFill="1" applyProtection="1">
      <alignment/>
      <protection locked="0"/>
    </xf>
    <xf numFmtId="177" fontId="6" fillId="0" borderId="0" xfId="23" applyFill="1" applyAlignment="1" applyProtection="1">
      <alignment horizontal="left"/>
      <protection/>
    </xf>
    <xf numFmtId="177" fontId="10" fillId="6" borderId="0" xfId="23" applyFont="1" applyFill="1">
      <alignment/>
      <protection/>
    </xf>
    <xf numFmtId="9" fontId="10" fillId="6" borderId="0" xfId="23" applyNumberFormat="1" applyFont="1" applyFill="1" applyProtection="1">
      <alignment/>
      <protection/>
    </xf>
    <xf numFmtId="177" fontId="10" fillId="6" borderId="0" xfId="23" applyFont="1" applyFill="1" applyAlignment="1" applyProtection="1">
      <alignment horizontal="left"/>
      <protection/>
    </xf>
    <xf numFmtId="3" fontId="10" fillId="6" borderId="0" xfId="23" applyNumberFormat="1" applyFont="1" applyFill="1" applyProtection="1">
      <alignment/>
      <protection/>
    </xf>
    <xf numFmtId="177" fontId="6" fillId="0" borderId="0" xfId="23" applyFill="1">
      <alignment/>
      <protection/>
    </xf>
    <xf numFmtId="177" fontId="9" fillId="8" borderId="0" xfId="23" applyFont="1" applyFill="1" applyAlignment="1">
      <alignment horizontal="centerContinuous"/>
      <protection/>
    </xf>
    <xf numFmtId="177" fontId="11" fillId="8" borderId="0" xfId="23" applyFont="1" applyFill="1" applyAlignment="1">
      <alignment horizontal="centerContinuous"/>
      <protection/>
    </xf>
    <xf numFmtId="177" fontId="9" fillId="9" borderId="0" xfId="23" applyFont="1" applyFill="1" applyAlignment="1">
      <alignment horizontal="centerContinuous"/>
      <protection/>
    </xf>
    <xf numFmtId="177" fontId="11" fillId="9" borderId="0" xfId="23" applyFont="1" applyFill="1" applyAlignment="1">
      <alignment horizontal="centerContinuous"/>
      <protection/>
    </xf>
    <xf numFmtId="177" fontId="6" fillId="9" borderId="0" xfId="23" applyFill="1" applyAlignment="1">
      <alignment horizontal="centerContinuous"/>
      <protection/>
    </xf>
    <xf numFmtId="177" fontId="11" fillId="10" borderId="0" xfId="23" applyFont="1" applyFill="1" applyAlignment="1" applyProtection="1">
      <alignment horizontal="left"/>
      <protection/>
    </xf>
    <xf numFmtId="177" fontId="11" fillId="10" borderId="0" xfId="23" applyFont="1" applyFill="1">
      <alignment/>
      <protection/>
    </xf>
    <xf numFmtId="178" fontId="11" fillId="10" borderId="0" xfId="23" applyNumberFormat="1" applyFont="1" applyFill="1" applyProtection="1">
      <alignment/>
      <protection/>
    </xf>
    <xf numFmtId="3" fontId="11" fillId="10" borderId="0" xfId="23" applyNumberFormat="1" applyFont="1" applyFill="1" applyProtection="1">
      <alignment/>
      <protection/>
    </xf>
    <xf numFmtId="177" fontId="12" fillId="11" borderId="0" xfId="23" applyFont="1" applyFill="1" applyAlignment="1">
      <alignment horizontal="left"/>
      <protection/>
    </xf>
    <xf numFmtId="3" fontId="13" fillId="11" borderId="0" xfId="23" applyNumberFormat="1" applyFont="1" applyFill="1">
      <alignment/>
      <protection/>
    </xf>
    <xf numFmtId="9" fontId="12" fillId="11" borderId="0" xfId="23" applyNumberFormat="1" applyFont="1" applyFill="1">
      <alignment/>
      <protection/>
    </xf>
    <xf numFmtId="177" fontId="6" fillId="12" borderId="0" xfId="23" applyFill="1">
      <alignment/>
      <protection/>
    </xf>
    <xf numFmtId="3" fontId="6" fillId="12" borderId="0" xfId="23" applyNumberFormat="1" applyFill="1" applyProtection="1">
      <alignment/>
      <protection locked="0"/>
    </xf>
    <xf numFmtId="165" fontId="6" fillId="12" borderId="0" xfId="23" applyNumberFormat="1" applyFill="1" applyProtection="1">
      <alignment/>
      <protection locked="0"/>
    </xf>
    <xf numFmtId="177" fontId="9" fillId="10" borderId="0" xfId="23" applyFont="1" applyFill="1" applyAlignment="1" applyProtection="1">
      <alignment horizontal="left"/>
      <protection/>
    </xf>
    <xf numFmtId="177" fontId="9" fillId="10" borderId="0" xfId="23" applyFont="1" applyFill="1">
      <alignment/>
      <protection/>
    </xf>
    <xf numFmtId="3" fontId="9" fillId="10" borderId="0" xfId="23" applyNumberFormat="1" applyFont="1" applyFill="1" applyProtection="1">
      <alignment/>
      <protection/>
    </xf>
    <xf numFmtId="177" fontId="10" fillId="13" borderId="0" xfId="23" applyFont="1" applyFill="1" applyAlignment="1">
      <alignment horizontal="right"/>
      <protection/>
    </xf>
    <xf numFmtId="3" fontId="9" fillId="13" borderId="0" xfId="23" applyNumberFormat="1" applyFont="1" applyFill="1">
      <alignment/>
      <protection/>
    </xf>
    <xf numFmtId="177" fontId="6" fillId="12" borderId="0" xfId="23" applyFill="1" applyProtection="1">
      <alignment/>
      <protection locked="0"/>
    </xf>
    <xf numFmtId="165" fontId="6" fillId="12" borderId="0" xfId="23" applyNumberFormat="1" applyFill="1">
      <alignment/>
      <protection/>
    </xf>
    <xf numFmtId="3" fontId="6" fillId="12" borderId="0" xfId="23" applyNumberFormat="1" applyFill="1">
      <alignment/>
      <protection/>
    </xf>
    <xf numFmtId="177" fontId="11" fillId="0" borderId="0" xfId="23" applyFont="1" applyAlignment="1">
      <alignment horizontal="centerContinuous"/>
      <protection/>
    </xf>
    <xf numFmtId="177" fontId="6" fillId="0" borderId="0" xfId="23" applyAlignment="1">
      <alignment horizontal="centerContinuous"/>
      <protection/>
    </xf>
    <xf numFmtId="177" fontId="6" fillId="14" borderId="0" xfId="23" applyFill="1" applyAlignment="1" applyProtection="1">
      <alignment horizontal="right" vertical="top" wrapText="1"/>
      <protection/>
    </xf>
    <xf numFmtId="177" fontId="6" fillId="15" borderId="0" xfId="23" applyFill="1" applyAlignment="1">
      <alignment horizontal="right" vertical="top" wrapText="1"/>
      <protection/>
    </xf>
    <xf numFmtId="177" fontId="12" fillId="16" borderId="0" xfId="23" applyFont="1" applyFill="1" applyAlignment="1">
      <alignment horizontal="right" vertical="top" wrapText="1"/>
      <protection/>
    </xf>
    <xf numFmtId="177" fontId="6" fillId="17" borderId="0" xfId="23" applyFill="1" applyAlignment="1">
      <alignment horizontal="right" vertical="top" wrapText="1"/>
      <protection/>
    </xf>
    <xf numFmtId="177" fontId="6" fillId="5" borderId="0" xfId="23" applyFill="1" applyAlignment="1" applyProtection="1">
      <alignment horizontal="right" vertical="top" wrapText="1"/>
      <protection/>
    </xf>
    <xf numFmtId="177" fontId="14" fillId="18" borderId="0" xfId="23" applyFont="1" applyFill="1" applyAlignment="1">
      <alignment horizontal="right"/>
      <protection/>
    </xf>
    <xf numFmtId="177" fontId="6" fillId="14" borderId="0" xfId="23" applyFill="1" applyProtection="1">
      <alignment/>
      <protection/>
    </xf>
    <xf numFmtId="3" fontId="6" fillId="14" borderId="0" xfId="23" applyNumberFormat="1" applyFill="1" applyProtection="1">
      <alignment/>
      <protection/>
    </xf>
    <xf numFmtId="177" fontId="6" fillId="15" borderId="0" xfId="23" applyFill="1">
      <alignment/>
      <protection/>
    </xf>
    <xf numFmtId="3" fontId="12" fillId="16" borderId="0" xfId="23" applyNumberFormat="1" applyFont="1" applyFill="1">
      <alignment/>
      <protection/>
    </xf>
    <xf numFmtId="3" fontId="6" fillId="17" borderId="0" xfId="23" applyNumberFormat="1" applyFill="1">
      <alignment/>
      <protection/>
    </xf>
    <xf numFmtId="3" fontId="6" fillId="5" borderId="0" xfId="23" applyNumberFormat="1" applyFill="1">
      <alignment/>
      <protection/>
    </xf>
    <xf numFmtId="3" fontId="6" fillId="5" borderId="0" xfId="23" applyNumberFormat="1" applyFill="1" applyProtection="1">
      <alignment/>
      <protection/>
    </xf>
    <xf numFmtId="3" fontId="14" fillId="18" borderId="0" xfId="23" applyNumberFormat="1" applyFont="1" applyFill="1">
      <alignment/>
      <protection/>
    </xf>
    <xf numFmtId="3" fontId="14" fillId="19" borderId="0" xfId="23" applyNumberFormat="1" applyFont="1" applyFill="1" applyProtection="1">
      <alignment/>
      <protection/>
    </xf>
    <xf numFmtId="3" fontId="6" fillId="15" borderId="0" xfId="23" applyNumberFormat="1" applyFill="1">
      <alignment/>
      <protection/>
    </xf>
    <xf numFmtId="177" fontId="6" fillId="14" borderId="0" xfId="23" applyFill="1">
      <alignment/>
      <protection/>
    </xf>
    <xf numFmtId="3" fontId="6" fillId="14" borderId="0" xfId="23" applyNumberFormat="1" applyFill="1">
      <alignment/>
      <protection/>
    </xf>
    <xf numFmtId="3" fontId="6" fillId="14" borderId="0" xfId="23" applyNumberFormat="1" applyFill="1" applyAlignment="1" applyProtection="1">
      <alignment horizontal="left"/>
      <protection/>
    </xf>
    <xf numFmtId="3" fontId="6" fillId="0" borderId="0" xfId="23" applyNumberFormat="1" applyFill="1">
      <alignment/>
      <protection/>
    </xf>
    <xf numFmtId="3" fontId="6" fillId="0" borderId="0" xfId="23" applyNumberFormat="1" applyFill="1" applyProtection="1">
      <alignment/>
      <protection/>
    </xf>
    <xf numFmtId="177" fontId="11" fillId="0" borderId="0" xfId="23" applyFont="1">
      <alignment/>
      <protection/>
    </xf>
    <xf numFmtId="3" fontId="11" fillId="0" borderId="0" xfId="23" applyNumberFormat="1" applyFont="1">
      <alignment/>
      <protection/>
    </xf>
  </cellXfs>
  <cellStyles count="11">
    <cellStyle name="Normal" xfId="0"/>
    <cellStyle name="Comma" xfId="15"/>
    <cellStyle name="Comma [0]" xfId="16"/>
    <cellStyle name="Comma [0]_SUPERMOD" xfId="17"/>
    <cellStyle name="Comma_SUPERMOD" xfId="18"/>
    <cellStyle name="Currency" xfId="19"/>
    <cellStyle name="Currency [0]" xfId="20"/>
    <cellStyle name="Currency [0]_SUPERMOD" xfId="21"/>
    <cellStyle name="Currency_SUPERMOD" xfId="22"/>
    <cellStyle name="Normal_SUPERMO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E9D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9DECB"/>
      <rgbColor rgb="00DADC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Resulting Annuity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'[1]SUPERMOD'!$C$59:$C$67</c:f>
              <c:numCache>
                <c:ptCount val="9"/>
                <c:pt idx="0">
                  <c:v>-0.04</c:v>
                </c:pt>
                <c:pt idx="1">
                  <c:v>-0.03</c:v>
                </c:pt>
                <c:pt idx="2">
                  <c:v>-0.02</c:v>
                </c:pt>
                <c:pt idx="3">
                  <c:v>-0.01</c:v>
                </c:pt>
                <c:pt idx="4">
                  <c:v>6.938893903907228E-18</c:v>
                </c:pt>
                <c:pt idx="5">
                  <c:v>0.01</c:v>
                </c:pt>
                <c:pt idx="6">
                  <c:v>0.02</c:v>
                </c:pt>
                <c:pt idx="7">
                  <c:v>0.03</c:v>
                </c:pt>
                <c:pt idx="8">
                  <c:v>0.04</c:v>
                </c:pt>
              </c:numCache>
            </c:numRef>
          </c:cat>
          <c:val>
            <c:numRef>
              <c:f>'[1]SUPERMOD'!$D$59:$D$67</c:f>
              <c:numCache>
                <c:ptCount val="9"/>
                <c:pt idx="0">
                  <c:v>8694.486946167359</c:v>
                </c:pt>
                <c:pt idx="1">
                  <c:v>11940.725213798969</c:v>
                </c:pt>
                <c:pt idx="2">
                  <c:v>16539.634884851286</c:v>
                </c:pt>
                <c:pt idx="3">
                  <c:v>23095.49004948855</c:v>
                </c:pt>
                <c:pt idx="4">
                  <c:v>32489.98666935014</c:v>
                </c:pt>
                <c:pt idx="5">
                  <c:v>46009.42708132487</c:v>
                </c:pt>
                <c:pt idx="6">
                  <c:v>65529.182645574634</c:v>
                </c:pt>
                <c:pt idx="7">
                  <c:v>93780.54211706629</c:v>
                </c:pt>
                <c:pt idx="8">
                  <c:v>134735.70705222109</c:v>
                </c:pt>
              </c:numCache>
            </c:numRef>
          </c:val>
          <c:smooth val="0"/>
        </c:ser>
        <c:axId val="43094913"/>
        <c:axId val="52309898"/>
      </c:lineChart>
      <c:catAx>
        <c:axId val="4309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Departure from 5% long term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09898"/>
        <c:crosses val="autoZero"/>
        <c:auto val="0"/>
        <c:lblOffset val="100"/>
        <c:noMultiLvlLbl val="0"/>
      </c:catAx>
      <c:valAx>
        <c:axId val="52309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94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Cycle Income and Mortgage - Base Case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C9E9D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(2)'!$D$59:$D$102</c:f>
              <c:numCache>
                <c:ptCount val="44"/>
                <c:pt idx="0">
                  <c:v>50000</c:v>
                </c:pt>
                <c:pt idx="1">
                  <c:v>50348.83720930232</c:v>
                </c:pt>
                <c:pt idx="2">
                  <c:v>50697.67441860465</c:v>
                </c:pt>
                <c:pt idx="3">
                  <c:v>51046.51162790698</c:v>
                </c:pt>
                <c:pt idx="4">
                  <c:v>51395.3488372093</c:v>
                </c:pt>
                <c:pt idx="5">
                  <c:v>26744.186046511622</c:v>
                </c:pt>
                <c:pt idx="6">
                  <c:v>27093.023255813947</c:v>
                </c:pt>
                <c:pt idx="7">
                  <c:v>27441.86046511627</c:v>
                </c:pt>
                <c:pt idx="8">
                  <c:v>27790.697674418596</c:v>
                </c:pt>
                <c:pt idx="9">
                  <c:v>28139.53488372092</c:v>
                </c:pt>
                <c:pt idx="10">
                  <c:v>53488.372093023245</c:v>
                </c:pt>
                <c:pt idx="11">
                  <c:v>53988.724453840725</c:v>
                </c:pt>
                <c:pt idx="12">
                  <c:v>54489.0768146582</c:v>
                </c:pt>
                <c:pt idx="13">
                  <c:v>54989.42917547567</c:v>
                </c:pt>
                <c:pt idx="14">
                  <c:v>55489.78153629315</c:v>
                </c:pt>
                <c:pt idx="15">
                  <c:v>55990.13389711063</c:v>
                </c:pt>
                <c:pt idx="16">
                  <c:v>56490.4862579281</c:v>
                </c:pt>
                <c:pt idx="17">
                  <c:v>56990.838618745576</c:v>
                </c:pt>
                <c:pt idx="18">
                  <c:v>57491.190979563056</c:v>
                </c:pt>
                <c:pt idx="19">
                  <c:v>57991.54334038054</c:v>
                </c:pt>
                <c:pt idx="20">
                  <c:v>58491.89570119801</c:v>
                </c:pt>
                <c:pt idx="21">
                  <c:v>58992.24806201548</c:v>
                </c:pt>
                <c:pt idx="22">
                  <c:v>59492.60042283296</c:v>
                </c:pt>
                <c:pt idx="23">
                  <c:v>59992.95278365044</c:v>
                </c:pt>
                <c:pt idx="24">
                  <c:v>60493.30514446792</c:v>
                </c:pt>
                <c:pt idx="25">
                  <c:v>60993.6575052854</c:v>
                </c:pt>
                <c:pt idx="26">
                  <c:v>61494.00986610288</c:v>
                </c:pt>
                <c:pt idx="27">
                  <c:v>61994.36222692036</c:v>
                </c:pt>
                <c:pt idx="28">
                  <c:v>62494.71458773784</c:v>
                </c:pt>
                <c:pt idx="29">
                  <c:v>62995.06694855532</c:v>
                </c:pt>
                <c:pt idx="30">
                  <c:v>63495.4193093728</c:v>
                </c:pt>
                <c:pt idx="31">
                  <c:v>63995.77167019028</c:v>
                </c:pt>
                <c:pt idx="32">
                  <c:v>64496.12403100776</c:v>
                </c:pt>
                <c:pt idx="33">
                  <c:v>64996.47639182524</c:v>
                </c:pt>
                <c:pt idx="34">
                  <c:v>65496.82875264272</c:v>
                </c:pt>
                <c:pt idx="35">
                  <c:v>65997.1811134602</c:v>
                </c:pt>
                <c:pt idx="36">
                  <c:v>66497.53347427768</c:v>
                </c:pt>
                <c:pt idx="37">
                  <c:v>66997.88583509516</c:v>
                </c:pt>
                <c:pt idx="38">
                  <c:v>67498.23819591265</c:v>
                </c:pt>
                <c:pt idx="39">
                  <c:v>67998.59055673012</c:v>
                </c:pt>
                <c:pt idx="40">
                  <c:v>68498.9429175476</c:v>
                </c:pt>
                <c:pt idx="41">
                  <c:v>68999.29527836508</c:v>
                </c:pt>
                <c:pt idx="42">
                  <c:v>69499.64763918257</c:v>
                </c:pt>
                <c:pt idx="43">
                  <c:v>70000</c:v>
                </c:pt>
              </c:numCache>
            </c:numRef>
          </c:val>
          <c:smooth val="0"/>
        </c:ser>
        <c:ser>
          <c:idx val="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(2)'!$E$94</c:f>
              <c:numCache>
                <c:ptCount val="1"/>
                <c:pt idx="0">
                  <c:v>5279.774489076816</c:v>
                </c:pt>
              </c:numCache>
            </c:numRef>
          </c:val>
          <c:smooth val="0"/>
        </c:ser>
        <c:ser>
          <c:idx val="4"/>
          <c:order val="2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(2)'!$F$59:$F$102</c:f>
              <c:numCache>
                <c:ptCount val="44"/>
                <c:pt idx="0">
                  <c:v>54000</c:v>
                </c:pt>
                <c:pt idx="1">
                  <c:v>54376.744186046504</c:v>
                </c:pt>
                <c:pt idx="2">
                  <c:v>54753.48837209302</c:v>
                </c:pt>
                <c:pt idx="3">
                  <c:v>55130.232558139534</c:v>
                </c:pt>
                <c:pt idx="4">
                  <c:v>55506.976744186046</c:v>
                </c:pt>
                <c:pt idx="5">
                  <c:v>28883.720930232554</c:v>
                </c:pt>
                <c:pt idx="6">
                  <c:v>29260.46511627906</c:v>
                </c:pt>
                <c:pt idx="7">
                  <c:v>29637.209302325573</c:v>
                </c:pt>
                <c:pt idx="8">
                  <c:v>30013.953488372084</c:v>
                </c:pt>
                <c:pt idx="9">
                  <c:v>30390.697674418596</c:v>
                </c:pt>
                <c:pt idx="10">
                  <c:v>57767.44186046511</c:v>
                </c:pt>
                <c:pt idx="11">
                  <c:v>58307.82241014799</c:v>
                </c:pt>
                <c:pt idx="12">
                  <c:v>58848.20295983085</c:v>
                </c:pt>
                <c:pt idx="13">
                  <c:v>59388.58350951372</c:v>
                </c:pt>
                <c:pt idx="14">
                  <c:v>59928.9640591966</c:v>
                </c:pt>
                <c:pt idx="15">
                  <c:v>60469.34460887948</c:v>
                </c:pt>
                <c:pt idx="16">
                  <c:v>61009.72515856235</c:v>
                </c:pt>
                <c:pt idx="17">
                  <c:v>61550.105708245224</c:v>
                </c:pt>
                <c:pt idx="18">
                  <c:v>62090.4862579281</c:v>
                </c:pt>
                <c:pt idx="19">
                  <c:v>62630.86680761098</c:v>
                </c:pt>
                <c:pt idx="20">
                  <c:v>63171.24735729385</c:v>
                </c:pt>
                <c:pt idx="21">
                  <c:v>63711.62790697672</c:v>
                </c:pt>
                <c:pt idx="22">
                  <c:v>64252.0084566596</c:v>
                </c:pt>
                <c:pt idx="23">
                  <c:v>64792.38900634248</c:v>
                </c:pt>
                <c:pt idx="24">
                  <c:v>65332.769556025356</c:v>
                </c:pt>
                <c:pt idx="25">
                  <c:v>65873.15010570824</c:v>
                </c:pt>
                <c:pt idx="26">
                  <c:v>66413.5306553911</c:v>
                </c:pt>
                <c:pt idx="27">
                  <c:v>66953.911205074</c:v>
                </c:pt>
                <c:pt idx="28">
                  <c:v>67494.29175475686</c:v>
                </c:pt>
                <c:pt idx="29">
                  <c:v>68034.67230443975</c:v>
                </c:pt>
                <c:pt idx="30">
                  <c:v>68575.05285412262</c:v>
                </c:pt>
                <c:pt idx="31">
                  <c:v>69115.43340380551</c:v>
                </c:pt>
                <c:pt idx="32">
                  <c:v>69655.81395348838</c:v>
                </c:pt>
                <c:pt idx="33">
                  <c:v>70196.19450317127</c:v>
                </c:pt>
                <c:pt idx="34">
                  <c:v>70736.57505285414</c:v>
                </c:pt>
                <c:pt idx="35">
                  <c:v>71276.95560253703</c:v>
                </c:pt>
                <c:pt idx="36">
                  <c:v>71817.33615221988</c:v>
                </c:pt>
                <c:pt idx="37">
                  <c:v>72357.71670190277</c:v>
                </c:pt>
                <c:pt idx="38">
                  <c:v>72898.09725158566</c:v>
                </c:pt>
                <c:pt idx="39">
                  <c:v>73438.47780126853</c:v>
                </c:pt>
                <c:pt idx="40">
                  <c:v>73978.8583509514</c:v>
                </c:pt>
                <c:pt idx="41">
                  <c:v>74519.23890063429</c:v>
                </c:pt>
                <c:pt idx="42">
                  <c:v>75059.61945031717</c:v>
                </c:pt>
                <c:pt idx="43">
                  <c:v>75600</c:v>
                </c:pt>
              </c:numCache>
            </c:numRef>
          </c:val>
          <c:smooth val="0"/>
        </c:ser>
        <c:ser>
          <c:idx val="1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'[1]SUPERMOD (2)'!$A$59:$A$102</c:f>
              <c:numCache>
                <c:ptCount val="44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  <c:pt idx="41">
                  <c:v>62</c:v>
                </c:pt>
                <c:pt idx="42">
                  <c:v>63</c:v>
                </c:pt>
                <c:pt idx="43">
                  <c:v>64</c:v>
                </c:pt>
              </c:numCache>
            </c:numRef>
          </c:cat>
          <c:val>
            <c:numRef>
              <c:f>'[1]SUPERMOD (2)'!$I$59:$I$102</c:f>
              <c:numCache>
                <c:ptCount val="44"/>
                <c:pt idx="0">
                  <c:v>50000</c:v>
                </c:pt>
                <c:pt idx="1">
                  <c:v>50348.83720930232</c:v>
                </c:pt>
                <c:pt idx="2">
                  <c:v>50697.67441860465</c:v>
                </c:pt>
                <c:pt idx="3">
                  <c:v>42987.87127679586</c:v>
                </c:pt>
                <c:pt idx="4">
                  <c:v>43336.70848609818</c:v>
                </c:pt>
                <c:pt idx="5">
                  <c:v>18685.545695400502</c:v>
                </c:pt>
                <c:pt idx="6">
                  <c:v>19034.382904702827</c:v>
                </c:pt>
                <c:pt idx="7">
                  <c:v>19383.22011400515</c:v>
                </c:pt>
                <c:pt idx="8">
                  <c:v>19732.057323307476</c:v>
                </c:pt>
                <c:pt idx="9">
                  <c:v>20080.8945326098</c:v>
                </c:pt>
                <c:pt idx="10">
                  <c:v>45429.731741912125</c:v>
                </c:pt>
                <c:pt idx="11">
                  <c:v>45930.084102729605</c:v>
                </c:pt>
                <c:pt idx="12">
                  <c:v>46430.43646354708</c:v>
                </c:pt>
                <c:pt idx="13">
                  <c:v>46930.78882436455</c:v>
                </c:pt>
                <c:pt idx="14">
                  <c:v>47431.14118518203</c:v>
                </c:pt>
                <c:pt idx="15">
                  <c:v>47931.49354599951</c:v>
                </c:pt>
                <c:pt idx="16">
                  <c:v>48431.84590681698</c:v>
                </c:pt>
                <c:pt idx="17">
                  <c:v>48932.198267634456</c:v>
                </c:pt>
                <c:pt idx="18">
                  <c:v>49432.550628451936</c:v>
                </c:pt>
                <c:pt idx="19">
                  <c:v>49932.902989269416</c:v>
                </c:pt>
                <c:pt idx="20">
                  <c:v>50433.25535008689</c:v>
                </c:pt>
                <c:pt idx="21">
                  <c:v>50933.60771090436</c:v>
                </c:pt>
                <c:pt idx="22">
                  <c:v>51433.96007172184</c:v>
                </c:pt>
                <c:pt idx="23">
                  <c:v>51934.31243253932</c:v>
                </c:pt>
                <c:pt idx="24">
                  <c:v>52434.6647933568</c:v>
                </c:pt>
                <c:pt idx="25">
                  <c:v>52935.01715417428</c:v>
                </c:pt>
                <c:pt idx="26">
                  <c:v>53435.36951499176</c:v>
                </c:pt>
                <c:pt idx="27">
                  <c:v>53935.72187580924</c:v>
                </c:pt>
                <c:pt idx="28">
                  <c:v>54436.07423662672</c:v>
                </c:pt>
                <c:pt idx="29">
                  <c:v>54936.4265974442</c:v>
                </c:pt>
                <c:pt idx="30">
                  <c:v>55436.77895826168</c:v>
                </c:pt>
                <c:pt idx="31">
                  <c:v>55937.13131907916</c:v>
                </c:pt>
                <c:pt idx="32">
                  <c:v>56437.48367989664</c:v>
                </c:pt>
                <c:pt idx="33">
                  <c:v>64996.47639182524</c:v>
                </c:pt>
                <c:pt idx="34">
                  <c:v>65496.82875264272</c:v>
                </c:pt>
                <c:pt idx="35">
                  <c:v>65997.1811134602</c:v>
                </c:pt>
                <c:pt idx="36">
                  <c:v>66497.53347427768</c:v>
                </c:pt>
                <c:pt idx="37">
                  <c:v>66997.88583509516</c:v>
                </c:pt>
                <c:pt idx="38">
                  <c:v>67498.23819591265</c:v>
                </c:pt>
                <c:pt idx="39">
                  <c:v>67998.59055673012</c:v>
                </c:pt>
                <c:pt idx="40">
                  <c:v>68498.9429175476</c:v>
                </c:pt>
                <c:pt idx="41">
                  <c:v>68999.29527836508</c:v>
                </c:pt>
                <c:pt idx="42">
                  <c:v>69499.64763918257</c:v>
                </c:pt>
                <c:pt idx="43">
                  <c:v>70000</c:v>
                </c:pt>
              </c:numCache>
            </c:numRef>
          </c:val>
          <c:smooth val="0"/>
        </c:ser>
        <c:axId val="1027035"/>
        <c:axId val="9243316"/>
      </c:lineChart>
      <c:catAx>
        <c:axId val="1027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43316"/>
        <c:crosses val="autoZero"/>
        <c:auto val="0"/>
        <c:lblOffset val="100"/>
        <c:noMultiLvlLbl val="0"/>
      </c:catAx>
      <c:valAx>
        <c:axId val="9243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Income/Outlay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7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19050</xdr:rowOff>
    </xdr:from>
    <xdr:to>
      <xdr:col>11</xdr:col>
      <xdr:colOff>66675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62350" y="1876425"/>
          <a:ext cx="2505075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Protection - this worksheet is protected.  Only the cells with green text can be changed.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0.566</cdr:y>
    </cdr:from>
    <cdr:to>
      <cdr:x>0.64175</cdr:x>
      <cdr:y>-536870.346</cdr:y>
    </cdr:to>
    <cdr:sp>
      <cdr:nvSpPr>
        <cdr:cNvPr id="1" name="Text 1"/>
        <cdr:cNvSpPr txBox="1">
          <a:spLocks noChangeArrowheads="1"/>
        </cdr:cNvSpPr>
      </cdr:nvSpPr>
      <cdr:spPr>
        <a:xfrm>
          <a:off x="31337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Before Super</a:t>
          </a:r>
        </a:p>
      </cdr:txBody>
    </cdr:sp>
  </cdr:relSizeAnchor>
  <cdr:relSizeAnchor xmlns:cdr="http://schemas.openxmlformats.org/drawingml/2006/chartDrawing">
    <cdr:from>
      <cdr:x>0.38</cdr:x>
      <cdr:y>0.55375</cdr:y>
    </cdr:from>
    <cdr:to>
      <cdr:x>0.54875</cdr:x>
      <cdr:y>-536870.35825</cdr:y>
    </cdr:to>
    <cdr:sp>
      <cdr:nvSpPr>
        <cdr:cNvPr id="2" name="Text 2"/>
        <cdr:cNvSpPr txBox="1">
          <a:spLocks noChangeArrowheads="1"/>
        </cdr:cNvSpPr>
      </cdr:nvSpPr>
      <cdr:spPr>
        <a:xfrm>
          <a:off x="2381250" y="0"/>
          <a:ext cx="1057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Including Super</a:t>
          </a:r>
        </a:p>
      </cdr:txBody>
    </cdr:sp>
  </cdr:relSizeAnchor>
  <cdr:relSizeAnchor xmlns:cdr="http://schemas.openxmlformats.org/drawingml/2006/chartDrawing">
    <cdr:from>
      <cdr:x>0.50775</cdr:x>
      <cdr:y>0.58175</cdr:y>
    </cdr:from>
    <cdr:to>
      <cdr:x>0.66425</cdr:x>
      <cdr:y>-536870.33025</cdr:y>
    </cdr:to>
    <cdr:sp>
      <cdr:nvSpPr>
        <cdr:cNvPr id="3" name="Text 3"/>
        <cdr:cNvSpPr txBox="1">
          <a:spLocks noChangeArrowheads="1"/>
        </cdr:cNvSpPr>
      </cdr:nvSpPr>
      <cdr:spPr>
        <a:xfrm>
          <a:off x="3181350" y="0"/>
          <a:ext cx="981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After Mortgage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58</xdr:row>
      <xdr:rowOff>0</xdr:rowOff>
    </xdr:from>
    <xdr:to>
      <xdr:col>7</xdr:col>
      <xdr:colOff>600075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3276600" y="9629775"/>
        <a:ext cx="279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58</xdr:row>
      <xdr:rowOff>0</xdr:rowOff>
    </xdr:from>
    <xdr:to>
      <xdr:col>17</xdr:col>
      <xdr:colOff>581025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6496050" y="9629775"/>
        <a:ext cx="6267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0</xdr:row>
      <xdr:rowOff>57150</xdr:rowOff>
    </xdr:from>
    <xdr:to>
      <xdr:col>9</xdr:col>
      <xdr:colOff>142875</xdr:colOff>
      <xdr:row>2</xdr:row>
      <xdr:rowOff>57150</xdr:rowOff>
    </xdr:to>
    <xdr:sp>
      <xdr:nvSpPr>
        <xdr:cNvPr id="3" name="Text 5"/>
        <xdr:cNvSpPr txBox="1">
          <a:spLocks noChangeArrowheads="1"/>
        </xdr:cNvSpPr>
      </xdr:nvSpPr>
      <xdr:spPr>
        <a:xfrm>
          <a:off x="6038850" y="57150"/>
          <a:ext cx="1000125" cy="4000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Paramteters to vary</a:t>
          </a:r>
        </a:p>
      </xdr:txBody>
    </xdr:sp>
    <xdr:clientData/>
  </xdr:twoCellAnchor>
  <xdr:twoCellAnchor>
    <xdr:from>
      <xdr:col>3</xdr:col>
      <xdr:colOff>47625</xdr:colOff>
      <xdr:row>1</xdr:row>
      <xdr:rowOff>28575</xdr:rowOff>
    </xdr:from>
    <xdr:to>
      <xdr:col>7</xdr:col>
      <xdr:colOff>571500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2390775" y="228600"/>
          <a:ext cx="3648075" cy="37147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</xdr:row>
      <xdr:rowOff>57150</xdr:rowOff>
    </xdr:from>
    <xdr:to>
      <xdr:col>7</xdr:col>
      <xdr:colOff>542925</xdr:colOff>
      <xdr:row>4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2381250" y="257175"/>
          <a:ext cx="3629025" cy="54292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114300</xdr:rowOff>
    </xdr:from>
    <xdr:to>
      <xdr:col>7</xdr:col>
      <xdr:colOff>581025</xdr:colOff>
      <xdr:row>5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2419350" y="314325"/>
          <a:ext cx="3629025" cy="6667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76200</xdr:rowOff>
    </xdr:from>
    <xdr:to>
      <xdr:col>8</xdr:col>
      <xdr:colOff>161925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>
          <a:off x="6315075" y="476250"/>
          <a:ext cx="95250" cy="8191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</xdr:row>
      <xdr:rowOff>66675</xdr:rowOff>
    </xdr:from>
    <xdr:to>
      <xdr:col>8</xdr:col>
      <xdr:colOff>419100</xdr:colOff>
      <xdr:row>7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534150" y="466725"/>
          <a:ext cx="133350" cy="895350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2</xdr:row>
      <xdr:rowOff>66675</xdr:rowOff>
    </xdr:from>
    <xdr:to>
      <xdr:col>10</xdr:col>
      <xdr:colOff>257175</xdr:colOff>
      <xdr:row>7</xdr:row>
      <xdr:rowOff>66675</xdr:rowOff>
    </xdr:to>
    <xdr:sp>
      <xdr:nvSpPr>
        <xdr:cNvPr id="9" name="Line 9"/>
        <xdr:cNvSpPr>
          <a:spLocks/>
        </xdr:cNvSpPr>
      </xdr:nvSpPr>
      <xdr:spPr>
        <a:xfrm>
          <a:off x="6810375" y="466725"/>
          <a:ext cx="990600" cy="809625"/>
        </a:xfrm>
        <a:prstGeom prst="line">
          <a:avLst/>
        </a:prstGeom>
        <a:solidFill>
          <a:srgbClr val="FFFFFF"/>
        </a:solidFill>
        <a:ln w="1" cmpd="sng">
          <a:solidFill>
            <a:srgbClr val="0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FILES\UNIVERSI\SUPER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MOD"/>
      <sheetName val="SUPERMOD (2)"/>
    </sheetNames>
    <sheetDataSet>
      <sheetData sheetId="0">
        <row r="59">
          <cell r="C59">
            <v>-0.04</v>
          </cell>
          <cell r="D59">
            <v>8694.486946167359</v>
          </cell>
        </row>
        <row r="60">
          <cell r="C60">
            <v>-0.03</v>
          </cell>
          <cell r="D60">
            <v>11940.725213798969</v>
          </cell>
        </row>
        <row r="61">
          <cell r="C61">
            <v>-0.02</v>
          </cell>
          <cell r="D61">
            <v>16539.634884851286</v>
          </cell>
        </row>
        <row r="62">
          <cell r="C62">
            <v>-0.01</v>
          </cell>
          <cell r="D62">
            <v>23095.49004948855</v>
          </cell>
        </row>
        <row r="63">
          <cell r="C63">
            <v>6.938893903907228E-18</v>
          </cell>
          <cell r="D63">
            <v>32489.98666935014</v>
          </cell>
        </row>
        <row r="64">
          <cell r="C64">
            <v>0.01</v>
          </cell>
          <cell r="D64">
            <v>46009.42708132487</v>
          </cell>
        </row>
        <row r="65">
          <cell r="C65">
            <v>0.02</v>
          </cell>
          <cell r="D65">
            <v>65529.182645574634</v>
          </cell>
        </row>
        <row r="66">
          <cell r="C66">
            <v>0.03</v>
          </cell>
          <cell r="D66">
            <v>93780.54211706629</v>
          </cell>
        </row>
        <row r="67">
          <cell r="C67">
            <v>0.04</v>
          </cell>
          <cell r="D67">
            <v>134735.70705222109</v>
          </cell>
        </row>
      </sheetData>
      <sheetData sheetId="1">
        <row r="59">
          <cell r="A59">
            <v>21</v>
          </cell>
          <cell r="D59">
            <v>50000</v>
          </cell>
          <cell r="F59">
            <v>54000</v>
          </cell>
          <cell r="I59">
            <v>50000</v>
          </cell>
        </row>
        <row r="60">
          <cell r="A60">
            <v>22</v>
          </cell>
          <cell r="D60">
            <v>50348.83720930232</v>
          </cell>
          <cell r="F60">
            <v>54376.744186046504</v>
          </cell>
          <cell r="I60">
            <v>50348.83720930232</v>
          </cell>
        </row>
        <row r="61">
          <cell r="A61">
            <v>23</v>
          </cell>
          <cell r="D61">
            <v>50697.67441860465</v>
          </cell>
          <cell r="F61">
            <v>54753.48837209302</v>
          </cell>
          <cell r="I61">
            <v>50697.67441860465</v>
          </cell>
        </row>
        <row r="62">
          <cell r="A62">
            <v>24</v>
          </cell>
          <cell r="D62">
            <v>51046.51162790698</v>
          </cell>
          <cell r="F62">
            <v>55130.232558139534</v>
          </cell>
          <cell r="I62">
            <v>42987.87127679586</v>
          </cell>
        </row>
        <row r="63">
          <cell r="A63">
            <v>25</v>
          </cell>
          <cell r="D63">
            <v>51395.3488372093</v>
          </cell>
          <cell r="F63">
            <v>55506.976744186046</v>
          </cell>
          <cell r="I63">
            <v>43336.70848609818</v>
          </cell>
        </row>
        <row r="64">
          <cell r="A64">
            <v>26</v>
          </cell>
          <cell r="D64">
            <v>26744.186046511622</v>
          </cell>
          <cell r="F64">
            <v>28883.720930232554</v>
          </cell>
          <cell r="I64">
            <v>18685.545695400502</v>
          </cell>
        </row>
        <row r="65">
          <cell r="A65">
            <v>27</v>
          </cell>
          <cell r="D65">
            <v>27093.023255813947</v>
          </cell>
          <cell r="F65">
            <v>29260.46511627906</v>
          </cell>
          <cell r="I65">
            <v>19034.382904702827</v>
          </cell>
        </row>
        <row r="66">
          <cell r="A66">
            <v>28</v>
          </cell>
          <cell r="D66">
            <v>27441.86046511627</v>
          </cell>
          <cell r="F66">
            <v>29637.209302325573</v>
          </cell>
          <cell r="I66">
            <v>19383.22011400515</v>
          </cell>
        </row>
        <row r="67">
          <cell r="A67">
            <v>29</v>
          </cell>
          <cell r="D67">
            <v>27790.697674418596</v>
          </cell>
          <cell r="F67">
            <v>30013.953488372084</v>
          </cell>
          <cell r="I67">
            <v>19732.057323307476</v>
          </cell>
        </row>
        <row r="68">
          <cell r="A68">
            <v>30</v>
          </cell>
          <cell r="D68">
            <v>28139.53488372092</v>
          </cell>
          <cell r="F68">
            <v>30390.697674418596</v>
          </cell>
          <cell r="I68">
            <v>20080.8945326098</v>
          </cell>
        </row>
        <row r="69">
          <cell r="A69">
            <v>31</v>
          </cell>
          <cell r="D69">
            <v>53488.372093023245</v>
          </cell>
          <cell r="F69">
            <v>57767.44186046511</v>
          </cell>
          <cell r="I69">
            <v>45429.731741912125</v>
          </cell>
        </row>
        <row r="70">
          <cell r="A70">
            <v>32</v>
          </cell>
          <cell r="D70">
            <v>53988.724453840725</v>
          </cell>
          <cell r="F70">
            <v>58307.82241014799</v>
          </cell>
          <cell r="I70">
            <v>45930.084102729605</v>
          </cell>
        </row>
        <row r="71">
          <cell r="A71">
            <v>33</v>
          </cell>
          <cell r="D71">
            <v>54489.0768146582</v>
          </cell>
          <cell r="F71">
            <v>58848.20295983085</v>
          </cell>
          <cell r="I71">
            <v>46430.43646354708</v>
          </cell>
        </row>
        <row r="72">
          <cell r="A72">
            <v>34</v>
          </cell>
          <cell r="D72">
            <v>54989.42917547567</v>
          </cell>
          <cell r="F72">
            <v>59388.58350951372</v>
          </cell>
          <cell r="I72">
            <v>46930.78882436455</v>
          </cell>
        </row>
        <row r="73">
          <cell r="A73">
            <v>35</v>
          </cell>
          <cell r="D73">
            <v>55489.78153629315</v>
          </cell>
          <cell r="F73">
            <v>59928.9640591966</v>
          </cell>
          <cell r="I73">
            <v>47431.14118518203</v>
          </cell>
        </row>
        <row r="74">
          <cell r="A74">
            <v>36</v>
          </cell>
          <cell r="D74">
            <v>55990.13389711063</v>
          </cell>
          <cell r="F74">
            <v>60469.34460887948</v>
          </cell>
          <cell r="I74">
            <v>47931.49354599951</v>
          </cell>
        </row>
        <row r="75">
          <cell r="A75">
            <v>37</v>
          </cell>
          <cell r="D75">
            <v>56490.4862579281</v>
          </cell>
          <cell r="F75">
            <v>61009.72515856235</v>
          </cell>
          <cell r="I75">
            <v>48431.84590681698</v>
          </cell>
        </row>
        <row r="76">
          <cell r="A76">
            <v>38</v>
          </cell>
          <cell r="D76">
            <v>56990.838618745576</v>
          </cell>
          <cell r="F76">
            <v>61550.105708245224</v>
          </cell>
          <cell r="I76">
            <v>48932.198267634456</v>
          </cell>
        </row>
        <row r="77">
          <cell r="A77">
            <v>39</v>
          </cell>
          <cell r="D77">
            <v>57491.190979563056</v>
          </cell>
          <cell r="F77">
            <v>62090.4862579281</v>
          </cell>
          <cell r="I77">
            <v>49432.550628451936</v>
          </cell>
        </row>
        <row r="78">
          <cell r="A78">
            <v>40</v>
          </cell>
          <cell r="D78">
            <v>57991.54334038054</v>
          </cell>
          <cell r="F78">
            <v>62630.86680761098</v>
          </cell>
          <cell r="I78">
            <v>49932.902989269416</v>
          </cell>
        </row>
        <row r="79">
          <cell r="A79">
            <v>41</v>
          </cell>
          <cell r="D79">
            <v>58491.89570119801</v>
          </cell>
          <cell r="F79">
            <v>63171.24735729385</v>
          </cell>
          <cell r="I79">
            <v>50433.25535008689</v>
          </cell>
        </row>
        <row r="80">
          <cell r="A80">
            <v>42</v>
          </cell>
          <cell r="D80">
            <v>58992.24806201548</v>
          </cell>
          <cell r="F80">
            <v>63711.62790697672</v>
          </cell>
          <cell r="I80">
            <v>50933.60771090436</v>
          </cell>
        </row>
        <row r="81">
          <cell r="A81">
            <v>43</v>
          </cell>
          <cell r="D81">
            <v>59492.60042283296</v>
          </cell>
          <cell r="F81">
            <v>64252.0084566596</v>
          </cell>
          <cell r="I81">
            <v>51433.96007172184</v>
          </cell>
        </row>
        <row r="82">
          <cell r="A82">
            <v>44</v>
          </cell>
          <cell r="D82">
            <v>59992.95278365044</v>
          </cell>
          <cell r="F82">
            <v>64792.38900634248</v>
          </cell>
          <cell r="I82">
            <v>51934.31243253932</v>
          </cell>
        </row>
        <row r="83">
          <cell r="A83">
            <v>45</v>
          </cell>
          <cell r="D83">
            <v>60493.30514446792</v>
          </cell>
          <cell r="F83">
            <v>65332.769556025356</v>
          </cell>
          <cell r="I83">
            <v>52434.6647933568</v>
          </cell>
        </row>
        <row r="84">
          <cell r="A84">
            <v>46</v>
          </cell>
          <cell r="D84">
            <v>60993.6575052854</v>
          </cell>
          <cell r="F84">
            <v>65873.15010570824</v>
          </cell>
          <cell r="I84">
            <v>52935.01715417428</v>
          </cell>
        </row>
        <row r="85">
          <cell r="A85">
            <v>47</v>
          </cell>
          <cell r="D85">
            <v>61494.00986610288</v>
          </cell>
          <cell r="F85">
            <v>66413.5306553911</v>
          </cell>
          <cell r="I85">
            <v>53435.36951499176</v>
          </cell>
        </row>
        <row r="86">
          <cell r="A86">
            <v>48</v>
          </cell>
          <cell r="D86">
            <v>61994.36222692036</v>
          </cell>
          <cell r="F86">
            <v>66953.911205074</v>
          </cell>
          <cell r="I86">
            <v>53935.72187580924</v>
          </cell>
        </row>
        <row r="87">
          <cell r="A87">
            <v>49</v>
          </cell>
          <cell r="D87">
            <v>62494.71458773784</v>
          </cell>
          <cell r="F87">
            <v>67494.29175475686</v>
          </cell>
          <cell r="I87">
            <v>54436.07423662672</v>
          </cell>
        </row>
        <row r="88">
          <cell r="A88">
            <v>50</v>
          </cell>
          <cell r="D88">
            <v>62995.06694855532</v>
          </cell>
          <cell r="F88">
            <v>68034.67230443975</v>
          </cell>
          <cell r="I88">
            <v>54936.4265974442</v>
          </cell>
        </row>
        <row r="89">
          <cell r="A89">
            <v>51</v>
          </cell>
          <cell r="D89">
            <v>63495.4193093728</v>
          </cell>
          <cell r="F89">
            <v>68575.05285412262</v>
          </cell>
          <cell r="I89">
            <v>55436.77895826168</v>
          </cell>
        </row>
        <row r="90">
          <cell r="A90">
            <v>52</v>
          </cell>
          <cell r="D90">
            <v>63995.77167019028</v>
          </cell>
          <cell r="F90">
            <v>69115.43340380551</v>
          </cell>
          <cell r="I90">
            <v>55937.13131907916</v>
          </cell>
        </row>
        <row r="91">
          <cell r="A91">
            <v>53</v>
          </cell>
          <cell r="D91">
            <v>64496.12403100776</v>
          </cell>
          <cell r="F91">
            <v>69655.81395348838</v>
          </cell>
          <cell r="I91">
            <v>56437.48367989664</v>
          </cell>
        </row>
        <row r="92">
          <cell r="A92">
            <v>54</v>
          </cell>
          <cell r="D92">
            <v>64996.47639182524</v>
          </cell>
          <cell r="F92">
            <v>70196.19450317127</v>
          </cell>
          <cell r="I92">
            <v>64996.47639182524</v>
          </cell>
        </row>
        <row r="93">
          <cell r="A93">
            <v>55</v>
          </cell>
          <cell r="D93">
            <v>65496.82875264272</v>
          </cell>
          <cell r="F93">
            <v>70736.57505285414</v>
          </cell>
          <cell r="I93">
            <v>65496.82875264272</v>
          </cell>
        </row>
        <row r="94">
          <cell r="A94">
            <v>56</v>
          </cell>
          <cell r="D94">
            <v>65997.1811134602</v>
          </cell>
          <cell r="E94">
            <v>5279.774489076816</v>
          </cell>
          <cell r="F94">
            <v>71276.95560253703</v>
          </cell>
          <cell r="I94">
            <v>65997.1811134602</v>
          </cell>
        </row>
        <row r="95">
          <cell r="A95">
            <v>57</v>
          </cell>
          <cell r="D95">
            <v>66497.53347427768</v>
          </cell>
          <cell r="F95">
            <v>71817.33615221988</v>
          </cell>
          <cell r="I95">
            <v>66497.53347427768</v>
          </cell>
        </row>
        <row r="96">
          <cell r="A96">
            <v>58</v>
          </cell>
          <cell r="D96">
            <v>66997.88583509516</v>
          </cell>
          <cell r="F96">
            <v>72357.71670190277</v>
          </cell>
          <cell r="I96">
            <v>66997.88583509516</v>
          </cell>
        </row>
        <row r="97">
          <cell r="A97">
            <v>59</v>
          </cell>
          <cell r="D97">
            <v>67498.23819591265</v>
          </cell>
          <cell r="F97">
            <v>72898.09725158566</v>
          </cell>
          <cell r="I97">
            <v>67498.23819591265</v>
          </cell>
        </row>
        <row r="98">
          <cell r="A98">
            <v>60</v>
          </cell>
          <cell r="D98">
            <v>67998.59055673012</v>
          </cell>
          <cell r="F98">
            <v>73438.47780126853</v>
          </cell>
          <cell r="I98">
            <v>67998.59055673012</v>
          </cell>
        </row>
        <row r="99">
          <cell r="A99">
            <v>61</v>
          </cell>
          <cell r="D99">
            <v>68498.9429175476</v>
          </cell>
          <cell r="F99">
            <v>73978.8583509514</v>
          </cell>
          <cell r="I99">
            <v>68498.9429175476</v>
          </cell>
        </row>
        <row r="100">
          <cell r="A100">
            <v>62</v>
          </cell>
          <cell r="D100">
            <v>68999.29527836508</v>
          </cell>
          <cell r="F100">
            <v>74519.23890063429</v>
          </cell>
          <cell r="I100">
            <v>68999.29527836508</v>
          </cell>
        </row>
        <row r="101">
          <cell r="A101">
            <v>63</v>
          </cell>
          <cell r="D101">
            <v>69499.64763918257</v>
          </cell>
          <cell r="F101">
            <v>75059.61945031717</v>
          </cell>
          <cell r="I101">
            <v>69499.64763918257</v>
          </cell>
        </row>
        <row r="102">
          <cell r="A102">
            <v>64</v>
          </cell>
          <cell r="D102">
            <v>70000</v>
          </cell>
          <cell r="F102">
            <v>75600</v>
          </cell>
          <cell r="I102">
            <v>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6.57421875" style="0" customWidth="1"/>
    <col min="6" max="6" width="9.28125" style="0" bestFit="1" customWidth="1"/>
  </cols>
  <sheetData>
    <row r="1" ht="15.75">
      <c r="B1" s="1" t="s">
        <v>41</v>
      </c>
    </row>
    <row r="2" ht="13.5" thickBot="1"/>
    <row r="3" spans="2:11" ht="13.5" thickTop="1">
      <c r="B3" s="2" t="s">
        <v>0</v>
      </c>
      <c r="C3" s="3"/>
      <c r="D3" s="3"/>
      <c r="E3" s="3"/>
      <c r="F3" s="4"/>
      <c r="H3" s="5" t="s">
        <v>1</v>
      </c>
      <c r="I3" s="6"/>
      <c r="J3" s="6"/>
      <c r="K3" s="7"/>
    </row>
    <row r="4" spans="2:11" ht="12.75">
      <c r="B4" s="8"/>
      <c r="C4" s="9" t="s">
        <v>2</v>
      </c>
      <c r="D4" s="9"/>
      <c r="E4" s="9" t="s">
        <v>3</v>
      </c>
      <c r="F4" s="10">
        <v>20</v>
      </c>
      <c r="H4" s="11"/>
      <c r="I4" s="12" t="s">
        <v>4</v>
      </c>
      <c r="J4" s="12"/>
      <c r="K4" s="13">
        <f>IF(F8="n",VLOOKUP(finage,B25:M73,12),VLOOKUP(presage,B25:M73,12))</f>
        <v>385.1798089744626</v>
      </c>
    </row>
    <row r="5" spans="2:13" ht="12.75">
      <c r="B5" s="8"/>
      <c r="C5" s="9" t="s">
        <v>5</v>
      </c>
      <c r="D5" s="9"/>
      <c r="E5" s="9" t="s">
        <v>6</v>
      </c>
      <c r="F5" s="10">
        <v>65</v>
      </c>
      <c r="H5" s="11"/>
      <c r="I5" s="14"/>
      <c r="J5" s="14"/>
      <c r="K5" s="15"/>
      <c r="M5" s="48"/>
    </row>
    <row r="6" spans="2:11" ht="12.75">
      <c r="B6" s="8"/>
      <c r="C6" s="9" t="s">
        <v>7</v>
      </c>
      <c r="D6" s="9"/>
      <c r="E6" s="9" t="s">
        <v>8</v>
      </c>
      <c r="F6" s="10">
        <v>25</v>
      </c>
      <c r="H6" s="8"/>
      <c r="I6" s="9" t="s">
        <v>9</v>
      </c>
      <c r="J6" s="9"/>
      <c r="K6" s="16">
        <v>0.04</v>
      </c>
    </row>
    <row r="7" spans="2:11" ht="12.75">
      <c r="B7" s="8"/>
      <c r="C7" s="9" t="s">
        <v>10</v>
      </c>
      <c r="D7" s="9"/>
      <c r="E7" s="9" t="s">
        <v>8</v>
      </c>
      <c r="F7" s="10">
        <v>40</v>
      </c>
      <c r="H7" s="8"/>
      <c r="I7" s="9" t="s">
        <v>11</v>
      </c>
      <c r="J7" s="9"/>
      <c r="K7" s="10">
        <v>25</v>
      </c>
    </row>
    <row r="8" spans="2:11" ht="12.75">
      <c r="B8" s="8"/>
      <c r="C8" s="9" t="s">
        <v>12</v>
      </c>
      <c r="D8" s="9"/>
      <c r="E8" s="9" t="s">
        <v>13</v>
      </c>
      <c r="F8" s="17" t="s">
        <v>40</v>
      </c>
      <c r="H8" s="11"/>
      <c r="I8" s="14"/>
      <c r="J8" s="14"/>
      <c r="K8" s="15"/>
    </row>
    <row r="9" spans="2:11" ht="12.75">
      <c r="B9" s="8"/>
      <c r="C9" s="9" t="s">
        <v>14</v>
      </c>
      <c r="D9" s="9"/>
      <c r="E9" s="9" t="s">
        <v>6</v>
      </c>
      <c r="F9" s="17">
        <v>65</v>
      </c>
      <c r="H9" s="11"/>
      <c r="I9" s="12" t="s">
        <v>15</v>
      </c>
      <c r="J9" s="14"/>
      <c r="K9" s="46">
        <f>K4*K6/(1-1/(1+K6)^K7)</f>
        <v>24.656115598166977</v>
      </c>
    </row>
    <row r="10" spans="2:11" ht="13.5" thickBot="1">
      <c r="B10" s="8"/>
      <c r="C10" s="9"/>
      <c r="D10" s="9"/>
      <c r="E10" s="9"/>
      <c r="F10" s="21"/>
      <c r="H10" s="18"/>
      <c r="I10" s="19" t="s">
        <v>39</v>
      </c>
      <c r="J10" s="20"/>
      <c r="K10" s="47">
        <f>K9/(((startsal+finsal)/2))</f>
        <v>0.75864971071283</v>
      </c>
    </row>
    <row r="11" spans="2:6" ht="13.5" thickTop="1">
      <c r="B11" s="8"/>
      <c r="C11" s="9" t="s">
        <v>16</v>
      </c>
      <c r="D11" s="9"/>
      <c r="E11" s="9"/>
      <c r="F11" s="10">
        <v>0</v>
      </c>
    </row>
    <row r="12" spans="2:12" ht="12.75">
      <c r="B12" s="8"/>
      <c r="C12" s="9" t="s">
        <v>17</v>
      </c>
      <c r="D12" s="9"/>
      <c r="E12" s="9" t="s">
        <v>18</v>
      </c>
      <c r="F12" s="10">
        <v>0</v>
      </c>
      <c r="H12" s="45">
        <f>IF(presage&lt;finage,"Preservation age must not be less than finishing age","")</f>
      </c>
      <c r="I12" s="45"/>
      <c r="J12" s="45"/>
      <c r="K12" s="45"/>
      <c r="L12" s="45"/>
    </row>
    <row r="13" spans="2:6" ht="12.75">
      <c r="B13" s="8"/>
      <c r="C13" s="9" t="s">
        <v>19</v>
      </c>
      <c r="D13" s="9"/>
      <c r="E13" s="9"/>
      <c r="F13" s="10">
        <v>24</v>
      </c>
    </row>
    <row r="14" spans="2:6" ht="12.75">
      <c r="B14" s="8"/>
      <c r="C14" s="9"/>
      <c r="D14" s="9"/>
      <c r="E14" s="9"/>
      <c r="F14" s="21"/>
    </row>
    <row r="15" spans="2:6" ht="12.75">
      <c r="B15" s="8"/>
      <c r="C15" s="9" t="s">
        <v>20</v>
      </c>
      <c r="D15" s="9"/>
      <c r="E15" s="9"/>
      <c r="F15" s="22">
        <v>0.09</v>
      </c>
    </row>
    <row r="16" spans="2:6" ht="12.75">
      <c r="B16" s="8"/>
      <c r="C16" s="9" t="s">
        <v>38</v>
      </c>
      <c r="D16" s="9"/>
      <c r="E16" s="9"/>
      <c r="F16" s="22">
        <v>0.15</v>
      </c>
    </row>
    <row r="17" spans="2:6" ht="12.75">
      <c r="B17" s="8"/>
      <c r="C17" s="9" t="s">
        <v>22</v>
      </c>
      <c r="D17" s="9"/>
      <c r="E17" s="9"/>
      <c r="F17" s="22">
        <v>0.06</v>
      </c>
    </row>
    <row r="18" spans="2:6" ht="12.75">
      <c r="B18" s="8"/>
      <c r="C18" s="9" t="s">
        <v>37</v>
      </c>
      <c r="D18" s="9"/>
      <c r="E18" s="9"/>
      <c r="F18" s="22">
        <v>0</v>
      </c>
    </row>
    <row r="19" spans="2:6" ht="12.75">
      <c r="B19" s="8"/>
      <c r="C19" s="9" t="s">
        <v>23</v>
      </c>
      <c r="D19" s="9"/>
      <c r="E19" s="9"/>
      <c r="F19" s="22">
        <v>0.01</v>
      </c>
    </row>
    <row r="20" spans="2:6" ht="12.75">
      <c r="B20" s="8"/>
      <c r="C20" s="9" t="s">
        <v>24</v>
      </c>
      <c r="D20" s="9"/>
      <c r="E20" s="9"/>
      <c r="F20" s="23">
        <v>0</v>
      </c>
    </row>
    <row r="21" spans="2:6" ht="13.5" thickBot="1">
      <c r="B21" s="24"/>
      <c r="C21" s="25" t="s">
        <v>25</v>
      </c>
      <c r="D21" s="25"/>
      <c r="E21" s="25"/>
      <c r="F21" s="26">
        <v>0</v>
      </c>
    </row>
    <row r="22" ht="14.25" thickBot="1" thickTop="1"/>
    <row r="23" spans="2:13" ht="13.5" thickTop="1">
      <c r="B23" s="27" t="s">
        <v>26</v>
      </c>
      <c r="C23" s="28"/>
      <c r="D23" s="28"/>
      <c r="E23" s="28"/>
      <c r="F23" s="28"/>
      <c r="G23" s="28"/>
      <c r="H23" s="28"/>
      <c r="I23" s="29"/>
      <c r="J23" s="30" t="s">
        <v>27</v>
      </c>
      <c r="K23" s="29"/>
      <c r="L23" s="29"/>
      <c r="M23" s="31"/>
    </row>
    <row r="24" spans="2:13" ht="26.25" thickBot="1">
      <c r="B24" s="32" t="s">
        <v>28</v>
      </c>
      <c r="C24" s="33" t="s">
        <v>29</v>
      </c>
      <c r="D24" s="33" t="s">
        <v>30</v>
      </c>
      <c r="E24" s="33" t="s">
        <v>31</v>
      </c>
      <c r="F24" s="33" t="s">
        <v>21</v>
      </c>
      <c r="G24" s="33" t="s">
        <v>32</v>
      </c>
      <c r="H24" s="33" t="s">
        <v>33</v>
      </c>
      <c r="I24" s="34" t="s">
        <v>34</v>
      </c>
      <c r="J24" s="34" t="s">
        <v>22</v>
      </c>
      <c r="K24" s="34" t="s">
        <v>35</v>
      </c>
      <c r="L24" s="34" t="s">
        <v>37</v>
      </c>
      <c r="M24" s="35" t="s">
        <v>36</v>
      </c>
    </row>
    <row r="25" spans="2:13" ht="12.75">
      <c r="B25" s="36">
        <f>commage</f>
        <v>20</v>
      </c>
      <c r="C25" s="37">
        <f>startsal</f>
        <v>25</v>
      </c>
      <c r="D25" s="37">
        <f aca="true" t="shared" si="0" ref="D25:D56">(IF(B25&lt;outstart,0,1))*(IF(B25&gt;(outstart+outdur-1),0,1))*-(1-outfrac)*C25</f>
        <v>0</v>
      </c>
      <c r="E25" s="37">
        <f>IF((B25-0.1)&lt;finage,(C25+D25)*contrate,0)</f>
        <v>2.25</v>
      </c>
      <c r="F25" s="37">
        <f aca="true" t="shared" si="1" ref="F25:F56">E25*tax</f>
        <v>0.33749999999999997</v>
      </c>
      <c r="G25" s="37">
        <f aca="true" t="shared" si="2" ref="G25:G56">E25*feescont+I25*feescap+IF((feesabs/1000)&lt;I25,(feesabs/1000),0)</f>
        <v>0</v>
      </c>
      <c r="H25" s="37">
        <f aca="true" t="shared" si="3" ref="H25:H56">E25-F25-G25</f>
        <v>1.9125</v>
      </c>
      <c r="I25" s="38">
        <v>0</v>
      </c>
      <c r="J25" s="38">
        <f aca="true" t="shared" si="4" ref="J25:J56">I25*earn</f>
        <v>0</v>
      </c>
      <c r="K25" s="38">
        <f>H25</f>
        <v>1.9125</v>
      </c>
      <c r="L25" s="38">
        <f>IF(F$8="n",(IF(finage&gt;B25,-earntax*J25,0)),(IF(presage&gt;B25,-earntax*J25,0)))</f>
        <v>0</v>
      </c>
      <c r="M25" s="39">
        <f>I25+J25+K25+L25</f>
        <v>1.9125</v>
      </c>
    </row>
    <row r="26" spans="2:13" ht="12.75">
      <c r="B26" s="36">
        <f aca="true" t="shared" si="5" ref="B26:B73">B25+1</f>
        <v>21</v>
      </c>
      <c r="C26" s="37">
        <f aca="true" t="shared" si="6" ref="C26:C73">C25+(finsal-startsal)/(finage-commage)</f>
        <v>25.333333333333332</v>
      </c>
      <c r="D26" s="37">
        <f t="shared" si="0"/>
        <v>0</v>
      </c>
      <c r="E26" s="37">
        <f aca="true" t="shared" si="7" ref="E26:E73">IF((B26-0.1)&lt;finage,(C26+D26)*contrate,0)</f>
        <v>2.28</v>
      </c>
      <c r="F26" s="37">
        <f t="shared" si="1"/>
        <v>0.34199999999999997</v>
      </c>
      <c r="G26" s="37">
        <f t="shared" si="2"/>
        <v>0.019125</v>
      </c>
      <c r="H26" s="37">
        <f t="shared" si="3"/>
        <v>1.9188749999999997</v>
      </c>
      <c r="I26" s="38">
        <f aca="true" t="shared" si="8" ref="I26:I73">M25</f>
        <v>1.9125</v>
      </c>
      <c r="J26" s="38">
        <f t="shared" si="4"/>
        <v>0.11475</v>
      </c>
      <c r="K26" s="38">
        <f aca="true" t="shared" si="9" ref="K26:K73">H26</f>
        <v>1.9188749999999997</v>
      </c>
      <c r="L26" s="38">
        <f aca="true" t="shared" si="10" ref="L26:L73">IF(F$8="n",(IF(finage&gt;B26,-earntax*J26,0)),(IF(presage&gt;B26,-earntax*J26,0)))</f>
        <v>0</v>
      </c>
      <c r="M26" s="39">
        <f aca="true" t="shared" si="11" ref="M26:M73">I26+J26+K26+L26</f>
        <v>3.9461249999999994</v>
      </c>
    </row>
    <row r="27" spans="2:13" ht="12.75">
      <c r="B27" s="36">
        <f t="shared" si="5"/>
        <v>22</v>
      </c>
      <c r="C27" s="37">
        <f t="shared" si="6"/>
        <v>25.666666666666664</v>
      </c>
      <c r="D27" s="37">
        <f t="shared" si="0"/>
        <v>0</v>
      </c>
      <c r="E27" s="37">
        <f t="shared" si="7"/>
        <v>2.3099999999999996</v>
      </c>
      <c r="F27" s="37">
        <f t="shared" si="1"/>
        <v>0.3464999999999999</v>
      </c>
      <c r="G27" s="37">
        <f t="shared" si="2"/>
        <v>0.039461249999999996</v>
      </c>
      <c r="H27" s="37">
        <f t="shared" si="3"/>
        <v>1.9240387499999998</v>
      </c>
      <c r="I27" s="38">
        <f t="shared" si="8"/>
        <v>3.9461249999999994</v>
      </c>
      <c r="J27" s="38">
        <f t="shared" si="4"/>
        <v>0.23676749999999996</v>
      </c>
      <c r="K27" s="38">
        <f t="shared" si="9"/>
        <v>1.9240387499999998</v>
      </c>
      <c r="L27" s="38">
        <f t="shared" si="10"/>
        <v>0</v>
      </c>
      <c r="M27" s="39">
        <f t="shared" si="11"/>
        <v>6.106931249999999</v>
      </c>
    </row>
    <row r="28" spans="2:13" ht="12.75">
      <c r="B28" s="36">
        <f t="shared" si="5"/>
        <v>23</v>
      </c>
      <c r="C28" s="37">
        <f t="shared" si="6"/>
        <v>25.999999999999996</v>
      </c>
      <c r="D28" s="37">
        <f t="shared" si="0"/>
        <v>0</v>
      </c>
      <c r="E28" s="37">
        <f t="shared" si="7"/>
        <v>2.3399999999999994</v>
      </c>
      <c r="F28" s="37">
        <f t="shared" si="1"/>
        <v>0.3509999999999999</v>
      </c>
      <c r="G28" s="37">
        <f t="shared" si="2"/>
        <v>0.061069312499999986</v>
      </c>
      <c r="H28" s="37">
        <f t="shared" si="3"/>
        <v>1.9279306874999995</v>
      </c>
      <c r="I28" s="38">
        <f t="shared" si="8"/>
        <v>6.106931249999999</v>
      </c>
      <c r="J28" s="38">
        <f t="shared" si="4"/>
        <v>0.3664158749999999</v>
      </c>
      <c r="K28" s="38">
        <f t="shared" si="9"/>
        <v>1.9279306874999995</v>
      </c>
      <c r="L28" s="38">
        <f t="shared" si="10"/>
        <v>0</v>
      </c>
      <c r="M28" s="39">
        <f t="shared" si="11"/>
        <v>8.401277812499998</v>
      </c>
    </row>
    <row r="29" spans="2:13" ht="12.75">
      <c r="B29" s="36">
        <f t="shared" si="5"/>
        <v>24</v>
      </c>
      <c r="C29" s="37">
        <f t="shared" si="6"/>
        <v>26.33333333333333</v>
      </c>
      <c r="D29" s="37">
        <f t="shared" si="0"/>
        <v>0</v>
      </c>
      <c r="E29" s="37">
        <f t="shared" si="7"/>
        <v>2.3699999999999997</v>
      </c>
      <c r="F29" s="37">
        <f t="shared" si="1"/>
        <v>0.3554999999999999</v>
      </c>
      <c r="G29" s="37">
        <f t="shared" si="2"/>
        <v>0.08401277812499998</v>
      </c>
      <c r="H29" s="37">
        <f t="shared" si="3"/>
        <v>1.930487221875</v>
      </c>
      <c r="I29" s="38">
        <f t="shared" si="8"/>
        <v>8.401277812499998</v>
      </c>
      <c r="J29" s="38">
        <f t="shared" si="4"/>
        <v>0.5040766687499999</v>
      </c>
      <c r="K29" s="38">
        <f t="shared" si="9"/>
        <v>1.930487221875</v>
      </c>
      <c r="L29" s="38">
        <f t="shared" si="10"/>
        <v>0</v>
      </c>
      <c r="M29" s="39">
        <f t="shared" si="11"/>
        <v>10.835841703124999</v>
      </c>
    </row>
    <row r="30" spans="2:13" ht="12.75">
      <c r="B30" s="36">
        <f t="shared" si="5"/>
        <v>25</v>
      </c>
      <c r="C30" s="37">
        <f t="shared" si="6"/>
        <v>26.66666666666666</v>
      </c>
      <c r="D30" s="37">
        <f t="shared" si="0"/>
        <v>0</v>
      </c>
      <c r="E30" s="37">
        <f t="shared" si="7"/>
        <v>2.3999999999999995</v>
      </c>
      <c r="F30" s="37">
        <f t="shared" si="1"/>
        <v>0.35999999999999993</v>
      </c>
      <c r="G30" s="37">
        <f t="shared" si="2"/>
        <v>0.10835841703124999</v>
      </c>
      <c r="H30" s="37">
        <f t="shared" si="3"/>
        <v>1.9316415829687497</v>
      </c>
      <c r="I30" s="38">
        <f t="shared" si="8"/>
        <v>10.835841703124999</v>
      </c>
      <c r="J30" s="38">
        <f t="shared" si="4"/>
        <v>0.6501505021874999</v>
      </c>
      <c r="K30" s="38">
        <f t="shared" si="9"/>
        <v>1.9316415829687497</v>
      </c>
      <c r="L30" s="38">
        <f t="shared" si="10"/>
        <v>0</v>
      </c>
      <c r="M30" s="39">
        <f t="shared" si="11"/>
        <v>13.417633788281249</v>
      </c>
    </row>
    <row r="31" spans="2:13" ht="12.75">
      <c r="B31" s="36">
        <f t="shared" si="5"/>
        <v>26</v>
      </c>
      <c r="C31" s="37">
        <f t="shared" si="6"/>
        <v>26.999999999999993</v>
      </c>
      <c r="D31" s="37">
        <f t="shared" si="0"/>
        <v>0</v>
      </c>
      <c r="E31" s="37">
        <f t="shared" si="7"/>
        <v>2.4299999999999993</v>
      </c>
      <c r="F31" s="37">
        <f t="shared" si="1"/>
        <v>0.3644999999999999</v>
      </c>
      <c r="G31" s="37">
        <f t="shared" si="2"/>
        <v>0.1341763378828125</v>
      </c>
      <c r="H31" s="37">
        <f t="shared" si="3"/>
        <v>1.9313236621171868</v>
      </c>
      <c r="I31" s="38">
        <f t="shared" si="8"/>
        <v>13.417633788281249</v>
      </c>
      <c r="J31" s="38">
        <f t="shared" si="4"/>
        <v>0.8050580272968749</v>
      </c>
      <c r="K31" s="38">
        <f t="shared" si="9"/>
        <v>1.9313236621171868</v>
      </c>
      <c r="L31" s="38">
        <f t="shared" si="10"/>
        <v>0</v>
      </c>
      <c r="M31" s="39">
        <f t="shared" si="11"/>
        <v>16.15401547769531</v>
      </c>
    </row>
    <row r="32" spans="2:13" ht="12.75">
      <c r="B32" s="36">
        <f t="shared" si="5"/>
        <v>27</v>
      </c>
      <c r="C32" s="37">
        <f t="shared" si="6"/>
        <v>27.333333333333325</v>
      </c>
      <c r="D32" s="37">
        <f t="shared" si="0"/>
        <v>0</v>
      </c>
      <c r="E32" s="37">
        <f t="shared" si="7"/>
        <v>2.459999999999999</v>
      </c>
      <c r="F32" s="37">
        <f t="shared" si="1"/>
        <v>0.36899999999999983</v>
      </c>
      <c r="G32" s="37">
        <f t="shared" si="2"/>
        <v>0.1615401547769531</v>
      </c>
      <c r="H32" s="37">
        <f t="shared" si="3"/>
        <v>1.9294598452230463</v>
      </c>
      <c r="I32" s="38">
        <f t="shared" si="8"/>
        <v>16.15401547769531</v>
      </c>
      <c r="J32" s="38">
        <f t="shared" si="4"/>
        <v>0.9692409286617186</v>
      </c>
      <c r="K32" s="38">
        <f t="shared" si="9"/>
        <v>1.9294598452230463</v>
      </c>
      <c r="L32" s="38">
        <f t="shared" si="10"/>
        <v>0</v>
      </c>
      <c r="M32" s="39">
        <f t="shared" si="11"/>
        <v>19.052716251580076</v>
      </c>
    </row>
    <row r="33" spans="2:13" ht="12.75">
      <c r="B33" s="36">
        <f t="shared" si="5"/>
        <v>28</v>
      </c>
      <c r="C33" s="37">
        <f t="shared" si="6"/>
        <v>27.666666666666657</v>
      </c>
      <c r="D33" s="37">
        <f t="shared" si="0"/>
        <v>0</v>
      </c>
      <c r="E33" s="37">
        <f t="shared" si="7"/>
        <v>2.489999999999999</v>
      </c>
      <c r="F33" s="37">
        <f t="shared" si="1"/>
        <v>0.37349999999999983</v>
      </c>
      <c r="G33" s="37">
        <f t="shared" si="2"/>
        <v>0.19052716251580076</v>
      </c>
      <c r="H33" s="37">
        <f t="shared" si="3"/>
        <v>1.9259728374841982</v>
      </c>
      <c r="I33" s="38">
        <f t="shared" si="8"/>
        <v>19.052716251580076</v>
      </c>
      <c r="J33" s="38">
        <f t="shared" si="4"/>
        <v>1.1431629750948045</v>
      </c>
      <c r="K33" s="38">
        <f t="shared" si="9"/>
        <v>1.9259728374841982</v>
      </c>
      <c r="L33" s="38">
        <f t="shared" si="10"/>
        <v>0</v>
      </c>
      <c r="M33" s="39">
        <f t="shared" si="11"/>
        <v>22.12185206415908</v>
      </c>
    </row>
    <row r="34" spans="2:13" ht="12.75">
      <c r="B34" s="36">
        <f t="shared" si="5"/>
        <v>29</v>
      </c>
      <c r="C34" s="37">
        <f t="shared" si="6"/>
        <v>27.99999999999999</v>
      </c>
      <c r="D34" s="37">
        <f t="shared" si="0"/>
        <v>0</v>
      </c>
      <c r="E34" s="37">
        <f t="shared" si="7"/>
        <v>2.519999999999999</v>
      </c>
      <c r="F34" s="37">
        <f t="shared" si="1"/>
        <v>0.37799999999999984</v>
      </c>
      <c r="G34" s="37">
        <f t="shared" si="2"/>
        <v>0.22121852064159078</v>
      </c>
      <c r="H34" s="37">
        <f t="shared" si="3"/>
        <v>1.9207814793584086</v>
      </c>
      <c r="I34" s="38">
        <f t="shared" si="8"/>
        <v>22.12185206415908</v>
      </c>
      <c r="J34" s="38">
        <f t="shared" si="4"/>
        <v>1.3273111238495447</v>
      </c>
      <c r="K34" s="38">
        <f t="shared" si="9"/>
        <v>1.9207814793584086</v>
      </c>
      <c r="L34" s="38">
        <f t="shared" si="10"/>
        <v>0</v>
      </c>
      <c r="M34" s="39">
        <f t="shared" si="11"/>
        <v>25.36994466736703</v>
      </c>
    </row>
    <row r="35" spans="2:13" ht="12.75">
      <c r="B35" s="36">
        <f t="shared" si="5"/>
        <v>30</v>
      </c>
      <c r="C35" s="37">
        <f t="shared" si="6"/>
        <v>28.33333333333332</v>
      </c>
      <c r="D35" s="37">
        <f t="shared" si="0"/>
        <v>0</v>
      </c>
      <c r="E35" s="37">
        <f t="shared" si="7"/>
        <v>2.549999999999999</v>
      </c>
      <c r="F35" s="37">
        <f t="shared" si="1"/>
        <v>0.38249999999999984</v>
      </c>
      <c r="G35" s="37">
        <f t="shared" si="2"/>
        <v>0.2536994466736703</v>
      </c>
      <c r="H35" s="37">
        <f t="shared" si="3"/>
        <v>1.913800553326329</v>
      </c>
      <c r="I35" s="38">
        <f t="shared" si="8"/>
        <v>25.36994466736703</v>
      </c>
      <c r="J35" s="38">
        <f t="shared" si="4"/>
        <v>1.5221966800420217</v>
      </c>
      <c r="K35" s="38">
        <f t="shared" si="9"/>
        <v>1.913800553326329</v>
      </c>
      <c r="L35" s="38">
        <f t="shared" si="10"/>
        <v>0</v>
      </c>
      <c r="M35" s="39">
        <f t="shared" si="11"/>
        <v>28.80594190073538</v>
      </c>
    </row>
    <row r="36" spans="2:13" ht="12.75">
      <c r="B36" s="36">
        <f t="shared" si="5"/>
        <v>31</v>
      </c>
      <c r="C36" s="37">
        <f t="shared" si="6"/>
        <v>28.666666666666654</v>
      </c>
      <c r="D36" s="37">
        <f t="shared" si="0"/>
        <v>0</v>
      </c>
      <c r="E36" s="37">
        <f t="shared" si="7"/>
        <v>2.5799999999999987</v>
      </c>
      <c r="F36" s="37">
        <f t="shared" si="1"/>
        <v>0.3869999999999998</v>
      </c>
      <c r="G36" s="37">
        <f t="shared" si="2"/>
        <v>0.2880594190073538</v>
      </c>
      <c r="H36" s="37">
        <f t="shared" si="3"/>
        <v>1.904940580992645</v>
      </c>
      <c r="I36" s="38">
        <f t="shared" si="8"/>
        <v>28.80594190073538</v>
      </c>
      <c r="J36" s="38">
        <f t="shared" si="4"/>
        <v>1.7283565140441228</v>
      </c>
      <c r="K36" s="38">
        <f t="shared" si="9"/>
        <v>1.904940580992645</v>
      </c>
      <c r="L36" s="38">
        <f t="shared" si="10"/>
        <v>0</v>
      </c>
      <c r="M36" s="39">
        <f t="shared" si="11"/>
        <v>32.43923899577215</v>
      </c>
    </row>
    <row r="37" spans="2:13" ht="12.75">
      <c r="B37" s="36">
        <f t="shared" si="5"/>
        <v>32</v>
      </c>
      <c r="C37" s="37">
        <f t="shared" si="6"/>
        <v>28.999999999999986</v>
      </c>
      <c r="D37" s="37">
        <f t="shared" si="0"/>
        <v>0</v>
      </c>
      <c r="E37" s="37">
        <f t="shared" si="7"/>
        <v>2.6099999999999985</v>
      </c>
      <c r="F37" s="37">
        <f t="shared" si="1"/>
        <v>0.3914999999999998</v>
      </c>
      <c r="G37" s="37">
        <f t="shared" si="2"/>
        <v>0.3243923899577215</v>
      </c>
      <c r="H37" s="37">
        <f t="shared" si="3"/>
        <v>1.8941076100422773</v>
      </c>
      <c r="I37" s="38">
        <f t="shared" si="8"/>
        <v>32.43923899577215</v>
      </c>
      <c r="J37" s="38">
        <f t="shared" si="4"/>
        <v>1.946354339746329</v>
      </c>
      <c r="K37" s="38">
        <f t="shared" si="9"/>
        <v>1.8941076100422773</v>
      </c>
      <c r="L37" s="38">
        <f t="shared" si="10"/>
        <v>0</v>
      </c>
      <c r="M37" s="39">
        <f t="shared" si="11"/>
        <v>36.279700945560755</v>
      </c>
    </row>
    <row r="38" spans="2:13" ht="12.75">
      <c r="B38" s="36">
        <f t="shared" si="5"/>
        <v>33</v>
      </c>
      <c r="C38" s="37">
        <f t="shared" si="6"/>
        <v>29.333333333333318</v>
      </c>
      <c r="D38" s="37">
        <f t="shared" si="0"/>
        <v>0</v>
      </c>
      <c r="E38" s="37">
        <f t="shared" si="7"/>
        <v>2.6399999999999983</v>
      </c>
      <c r="F38" s="37">
        <f t="shared" si="1"/>
        <v>0.39599999999999974</v>
      </c>
      <c r="G38" s="37">
        <f t="shared" si="2"/>
        <v>0.36279700945560756</v>
      </c>
      <c r="H38" s="37">
        <f t="shared" si="3"/>
        <v>1.881202990544391</v>
      </c>
      <c r="I38" s="38">
        <f t="shared" si="8"/>
        <v>36.279700945560755</v>
      </c>
      <c r="J38" s="38">
        <f t="shared" si="4"/>
        <v>2.176782056733645</v>
      </c>
      <c r="K38" s="38">
        <f t="shared" si="9"/>
        <v>1.881202990544391</v>
      </c>
      <c r="L38" s="38">
        <f t="shared" si="10"/>
        <v>0</v>
      </c>
      <c r="M38" s="39">
        <f t="shared" si="11"/>
        <v>40.337685992838786</v>
      </c>
    </row>
    <row r="39" spans="2:13" ht="12.75">
      <c r="B39" s="36">
        <f t="shared" si="5"/>
        <v>34</v>
      </c>
      <c r="C39" s="37">
        <f t="shared" si="6"/>
        <v>29.66666666666665</v>
      </c>
      <c r="D39" s="37">
        <f t="shared" si="0"/>
        <v>0</v>
      </c>
      <c r="E39" s="37">
        <f t="shared" si="7"/>
        <v>2.6699999999999986</v>
      </c>
      <c r="F39" s="37">
        <f t="shared" si="1"/>
        <v>0.4004999999999998</v>
      </c>
      <c r="G39" s="37">
        <f t="shared" si="2"/>
        <v>0.40337685992838784</v>
      </c>
      <c r="H39" s="37">
        <f t="shared" si="3"/>
        <v>1.8661231400716112</v>
      </c>
      <c r="I39" s="38">
        <f t="shared" si="8"/>
        <v>40.337685992838786</v>
      </c>
      <c r="J39" s="38">
        <f t="shared" si="4"/>
        <v>2.420261159570327</v>
      </c>
      <c r="K39" s="38">
        <f t="shared" si="9"/>
        <v>1.8661231400716112</v>
      </c>
      <c r="L39" s="38">
        <f t="shared" si="10"/>
        <v>0</v>
      </c>
      <c r="M39" s="39">
        <f t="shared" si="11"/>
        <v>44.624070292480724</v>
      </c>
    </row>
    <row r="40" spans="2:13" ht="12.75">
      <c r="B40" s="36">
        <f t="shared" si="5"/>
        <v>35</v>
      </c>
      <c r="C40" s="37">
        <f t="shared" si="6"/>
        <v>29.999999999999982</v>
      </c>
      <c r="D40" s="37">
        <f t="shared" si="0"/>
        <v>0</v>
      </c>
      <c r="E40" s="37">
        <f t="shared" si="7"/>
        <v>2.6999999999999984</v>
      </c>
      <c r="F40" s="37">
        <f t="shared" si="1"/>
        <v>0.40499999999999975</v>
      </c>
      <c r="G40" s="37">
        <f t="shared" si="2"/>
        <v>0.4462407029248072</v>
      </c>
      <c r="H40" s="37">
        <f t="shared" si="3"/>
        <v>1.8487592970751914</v>
      </c>
      <c r="I40" s="38">
        <f t="shared" si="8"/>
        <v>44.624070292480724</v>
      </c>
      <c r="J40" s="38">
        <f t="shared" si="4"/>
        <v>2.6774442175488433</v>
      </c>
      <c r="K40" s="38">
        <f t="shared" si="9"/>
        <v>1.8487592970751914</v>
      </c>
      <c r="L40" s="38">
        <f t="shared" si="10"/>
        <v>0</v>
      </c>
      <c r="M40" s="39">
        <f t="shared" si="11"/>
        <v>49.15027380710476</v>
      </c>
    </row>
    <row r="41" spans="2:13" ht="12.75">
      <c r="B41" s="36">
        <f t="shared" si="5"/>
        <v>36</v>
      </c>
      <c r="C41" s="37">
        <f t="shared" si="6"/>
        <v>30.333333333333314</v>
      </c>
      <c r="D41" s="37">
        <f t="shared" si="0"/>
        <v>0</v>
      </c>
      <c r="E41" s="37">
        <f t="shared" si="7"/>
        <v>2.729999999999998</v>
      </c>
      <c r="F41" s="37">
        <f t="shared" si="1"/>
        <v>0.4094999999999997</v>
      </c>
      <c r="G41" s="37">
        <f t="shared" si="2"/>
        <v>0.4915027380710476</v>
      </c>
      <c r="H41" s="37">
        <f t="shared" si="3"/>
        <v>1.8289972619289512</v>
      </c>
      <c r="I41" s="38">
        <f t="shared" si="8"/>
        <v>49.15027380710476</v>
      </c>
      <c r="J41" s="38">
        <f t="shared" si="4"/>
        <v>2.9490164284262854</v>
      </c>
      <c r="K41" s="38">
        <f t="shared" si="9"/>
        <v>1.8289972619289512</v>
      </c>
      <c r="L41" s="38">
        <f t="shared" si="10"/>
        <v>0</v>
      </c>
      <c r="M41" s="39">
        <f t="shared" si="11"/>
        <v>53.92828749746</v>
      </c>
    </row>
    <row r="42" spans="2:13" ht="12.75">
      <c r="B42" s="36">
        <f t="shared" si="5"/>
        <v>37</v>
      </c>
      <c r="C42" s="37">
        <f t="shared" si="6"/>
        <v>30.666666666666647</v>
      </c>
      <c r="D42" s="37">
        <f t="shared" si="0"/>
        <v>0</v>
      </c>
      <c r="E42" s="37">
        <f t="shared" si="7"/>
        <v>2.759999999999998</v>
      </c>
      <c r="F42" s="37">
        <f t="shared" si="1"/>
        <v>0.4139999999999997</v>
      </c>
      <c r="G42" s="37">
        <f t="shared" si="2"/>
        <v>0.5392828749746</v>
      </c>
      <c r="H42" s="37">
        <f t="shared" si="3"/>
        <v>1.8067171250253984</v>
      </c>
      <c r="I42" s="38">
        <f t="shared" si="8"/>
        <v>53.92828749746</v>
      </c>
      <c r="J42" s="38">
        <f t="shared" si="4"/>
        <v>3.2356972498475995</v>
      </c>
      <c r="K42" s="38">
        <f t="shared" si="9"/>
        <v>1.8067171250253984</v>
      </c>
      <c r="L42" s="38">
        <f t="shared" si="10"/>
        <v>0</v>
      </c>
      <c r="M42" s="39">
        <f t="shared" si="11"/>
        <v>58.970701872332995</v>
      </c>
    </row>
    <row r="43" spans="2:13" ht="12.75">
      <c r="B43" s="36">
        <f t="shared" si="5"/>
        <v>38</v>
      </c>
      <c r="C43" s="37">
        <f t="shared" si="6"/>
        <v>30.99999999999998</v>
      </c>
      <c r="D43" s="37">
        <f t="shared" si="0"/>
        <v>0</v>
      </c>
      <c r="E43" s="37">
        <f t="shared" si="7"/>
        <v>2.789999999999998</v>
      </c>
      <c r="F43" s="37">
        <f t="shared" si="1"/>
        <v>0.41849999999999965</v>
      </c>
      <c r="G43" s="37">
        <f t="shared" si="2"/>
        <v>0.58970701872333</v>
      </c>
      <c r="H43" s="37">
        <f t="shared" si="3"/>
        <v>1.7817929812766684</v>
      </c>
      <c r="I43" s="38">
        <f t="shared" si="8"/>
        <v>58.970701872332995</v>
      </c>
      <c r="J43" s="38">
        <f t="shared" si="4"/>
        <v>3.5382421123399794</v>
      </c>
      <c r="K43" s="38">
        <f t="shared" si="9"/>
        <v>1.7817929812766684</v>
      </c>
      <c r="L43" s="38">
        <f t="shared" si="10"/>
        <v>0</v>
      </c>
      <c r="M43" s="39">
        <f t="shared" si="11"/>
        <v>64.29073696594965</v>
      </c>
    </row>
    <row r="44" spans="2:13" ht="12.75">
      <c r="B44" s="36">
        <f t="shared" si="5"/>
        <v>39</v>
      </c>
      <c r="C44" s="37">
        <f t="shared" si="6"/>
        <v>31.33333333333331</v>
      </c>
      <c r="D44" s="37">
        <f t="shared" si="0"/>
        <v>0</v>
      </c>
      <c r="E44" s="37">
        <f t="shared" si="7"/>
        <v>2.819999999999998</v>
      </c>
      <c r="F44" s="37">
        <f t="shared" si="1"/>
        <v>0.4229999999999997</v>
      </c>
      <c r="G44" s="37">
        <f t="shared" si="2"/>
        <v>0.6429073696594965</v>
      </c>
      <c r="H44" s="37">
        <f t="shared" si="3"/>
        <v>1.754092630340502</v>
      </c>
      <c r="I44" s="38">
        <f t="shared" si="8"/>
        <v>64.29073696594965</v>
      </c>
      <c r="J44" s="38">
        <f t="shared" si="4"/>
        <v>3.857444217956979</v>
      </c>
      <c r="K44" s="38">
        <f t="shared" si="9"/>
        <v>1.754092630340502</v>
      </c>
      <c r="L44" s="38">
        <f t="shared" si="10"/>
        <v>0</v>
      </c>
      <c r="M44" s="39">
        <f t="shared" si="11"/>
        <v>69.90227381424714</v>
      </c>
    </row>
    <row r="45" spans="2:13" ht="12.75">
      <c r="B45" s="36">
        <f t="shared" si="5"/>
        <v>40</v>
      </c>
      <c r="C45" s="37">
        <f t="shared" si="6"/>
        <v>31.666666666666643</v>
      </c>
      <c r="D45" s="37">
        <f t="shared" si="0"/>
        <v>0</v>
      </c>
      <c r="E45" s="37">
        <f t="shared" si="7"/>
        <v>2.849999999999998</v>
      </c>
      <c r="F45" s="37">
        <f t="shared" si="1"/>
        <v>0.42749999999999966</v>
      </c>
      <c r="G45" s="37">
        <f t="shared" si="2"/>
        <v>0.6990227381424714</v>
      </c>
      <c r="H45" s="37">
        <f t="shared" si="3"/>
        <v>1.7234772618575267</v>
      </c>
      <c r="I45" s="38">
        <f t="shared" si="8"/>
        <v>69.90227381424714</v>
      </c>
      <c r="J45" s="38">
        <f t="shared" si="4"/>
        <v>4.194136428854828</v>
      </c>
      <c r="K45" s="38">
        <f t="shared" si="9"/>
        <v>1.7234772618575267</v>
      </c>
      <c r="L45" s="38">
        <f t="shared" si="10"/>
        <v>0</v>
      </c>
      <c r="M45" s="39">
        <f t="shared" si="11"/>
        <v>75.8198875049595</v>
      </c>
    </row>
    <row r="46" spans="2:13" ht="12.75">
      <c r="B46" s="36">
        <f t="shared" si="5"/>
        <v>41</v>
      </c>
      <c r="C46" s="37">
        <f t="shared" si="6"/>
        <v>31.999999999999975</v>
      </c>
      <c r="D46" s="37">
        <f t="shared" si="0"/>
        <v>0</v>
      </c>
      <c r="E46" s="37">
        <f t="shared" si="7"/>
        <v>2.8799999999999977</v>
      </c>
      <c r="F46" s="37">
        <f t="shared" si="1"/>
        <v>0.43199999999999966</v>
      </c>
      <c r="G46" s="37">
        <f t="shared" si="2"/>
        <v>0.7581988750495949</v>
      </c>
      <c r="H46" s="37">
        <f t="shared" si="3"/>
        <v>1.6898011249504032</v>
      </c>
      <c r="I46" s="38">
        <f t="shared" si="8"/>
        <v>75.8198875049595</v>
      </c>
      <c r="J46" s="38">
        <f t="shared" si="4"/>
        <v>4.549193250297569</v>
      </c>
      <c r="K46" s="38">
        <f t="shared" si="9"/>
        <v>1.6898011249504032</v>
      </c>
      <c r="L46" s="38">
        <f t="shared" si="10"/>
        <v>0</v>
      </c>
      <c r="M46" s="39">
        <f t="shared" si="11"/>
        <v>82.05888188020747</v>
      </c>
    </row>
    <row r="47" spans="2:13" ht="12.75">
      <c r="B47" s="36">
        <f t="shared" si="5"/>
        <v>42</v>
      </c>
      <c r="C47" s="37">
        <f t="shared" si="6"/>
        <v>32.33333333333331</v>
      </c>
      <c r="D47" s="37">
        <f t="shared" si="0"/>
        <v>0</v>
      </c>
      <c r="E47" s="37">
        <f t="shared" si="7"/>
        <v>2.9099999999999975</v>
      </c>
      <c r="F47" s="37">
        <f t="shared" si="1"/>
        <v>0.4364999999999996</v>
      </c>
      <c r="G47" s="37">
        <f t="shared" si="2"/>
        <v>0.8205888188020747</v>
      </c>
      <c r="H47" s="37">
        <f t="shared" si="3"/>
        <v>1.6529111811979231</v>
      </c>
      <c r="I47" s="38">
        <f t="shared" si="8"/>
        <v>82.05888188020747</v>
      </c>
      <c r="J47" s="38">
        <f t="shared" si="4"/>
        <v>4.923532912812448</v>
      </c>
      <c r="K47" s="38">
        <f t="shared" si="9"/>
        <v>1.6529111811979231</v>
      </c>
      <c r="L47" s="38">
        <f t="shared" si="10"/>
        <v>0</v>
      </c>
      <c r="M47" s="39">
        <f t="shared" si="11"/>
        <v>88.63532597421784</v>
      </c>
    </row>
    <row r="48" spans="2:13" ht="12.75">
      <c r="B48" s="36">
        <f t="shared" si="5"/>
        <v>43</v>
      </c>
      <c r="C48" s="37">
        <f t="shared" si="6"/>
        <v>32.66666666666664</v>
      </c>
      <c r="D48" s="37">
        <f t="shared" si="0"/>
        <v>0</v>
      </c>
      <c r="E48" s="37">
        <f t="shared" si="7"/>
        <v>2.9399999999999977</v>
      </c>
      <c r="F48" s="37">
        <f t="shared" si="1"/>
        <v>0.44099999999999967</v>
      </c>
      <c r="G48" s="37">
        <f t="shared" si="2"/>
        <v>0.8863532597421784</v>
      </c>
      <c r="H48" s="37">
        <f t="shared" si="3"/>
        <v>1.6126467402578195</v>
      </c>
      <c r="I48" s="38">
        <f t="shared" si="8"/>
        <v>88.63532597421784</v>
      </c>
      <c r="J48" s="38">
        <f t="shared" si="4"/>
        <v>5.31811955845307</v>
      </c>
      <c r="K48" s="38">
        <f t="shared" si="9"/>
        <v>1.6126467402578195</v>
      </c>
      <c r="L48" s="38">
        <f t="shared" si="10"/>
        <v>0</v>
      </c>
      <c r="M48" s="39">
        <f t="shared" si="11"/>
        <v>95.56609227292873</v>
      </c>
    </row>
    <row r="49" spans="2:13" ht="12.75">
      <c r="B49" s="36">
        <f t="shared" si="5"/>
        <v>44</v>
      </c>
      <c r="C49" s="37">
        <f t="shared" si="6"/>
        <v>32.99999999999998</v>
      </c>
      <c r="D49" s="37">
        <f t="shared" si="0"/>
        <v>0</v>
      </c>
      <c r="E49" s="37">
        <f t="shared" si="7"/>
        <v>2.969999999999998</v>
      </c>
      <c r="F49" s="37">
        <f t="shared" si="1"/>
        <v>0.4454999999999997</v>
      </c>
      <c r="G49" s="37">
        <f t="shared" si="2"/>
        <v>0.9556609227292873</v>
      </c>
      <c r="H49" s="37">
        <f t="shared" si="3"/>
        <v>1.5688390772707113</v>
      </c>
      <c r="I49" s="38">
        <f t="shared" si="8"/>
        <v>95.56609227292873</v>
      </c>
      <c r="J49" s="38">
        <f t="shared" si="4"/>
        <v>5.733965536375724</v>
      </c>
      <c r="K49" s="38">
        <f t="shared" si="9"/>
        <v>1.5688390772707113</v>
      </c>
      <c r="L49" s="38">
        <f t="shared" si="10"/>
        <v>0</v>
      </c>
      <c r="M49" s="39">
        <f t="shared" si="11"/>
        <v>102.86889688657516</v>
      </c>
    </row>
    <row r="50" spans="2:13" ht="12.75">
      <c r="B50" s="36">
        <f t="shared" si="5"/>
        <v>45</v>
      </c>
      <c r="C50" s="37">
        <f t="shared" si="6"/>
        <v>33.333333333333314</v>
      </c>
      <c r="D50" s="37">
        <f t="shared" si="0"/>
        <v>0</v>
      </c>
      <c r="E50" s="37">
        <f t="shared" si="7"/>
        <v>2.9999999999999982</v>
      </c>
      <c r="F50" s="37">
        <f t="shared" si="1"/>
        <v>0.44999999999999973</v>
      </c>
      <c r="G50" s="37">
        <f t="shared" si="2"/>
        <v>1.0286889688657517</v>
      </c>
      <c r="H50" s="37">
        <f t="shared" si="3"/>
        <v>1.5213110311342468</v>
      </c>
      <c r="I50" s="38">
        <f t="shared" si="8"/>
        <v>102.86889688657516</v>
      </c>
      <c r="J50" s="38">
        <f t="shared" si="4"/>
        <v>6.17213381319451</v>
      </c>
      <c r="K50" s="38">
        <f t="shared" si="9"/>
        <v>1.5213110311342468</v>
      </c>
      <c r="L50" s="38">
        <f t="shared" si="10"/>
        <v>0</v>
      </c>
      <c r="M50" s="39">
        <f t="shared" si="11"/>
        <v>110.56234173090391</v>
      </c>
    </row>
    <row r="51" spans="2:13" ht="12.75">
      <c r="B51" s="36">
        <f t="shared" si="5"/>
        <v>46</v>
      </c>
      <c r="C51" s="37">
        <f t="shared" si="6"/>
        <v>33.66666666666665</v>
      </c>
      <c r="D51" s="37">
        <f t="shared" si="0"/>
        <v>0</v>
      </c>
      <c r="E51" s="37">
        <f t="shared" si="7"/>
        <v>3.0299999999999985</v>
      </c>
      <c r="F51" s="37">
        <f t="shared" si="1"/>
        <v>0.45449999999999974</v>
      </c>
      <c r="G51" s="37">
        <f t="shared" si="2"/>
        <v>1.1056234173090391</v>
      </c>
      <c r="H51" s="37">
        <f t="shared" si="3"/>
        <v>1.4698765826909594</v>
      </c>
      <c r="I51" s="38">
        <f t="shared" si="8"/>
        <v>110.56234173090391</v>
      </c>
      <c r="J51" s="38">
        <f t="shared" si="4"/>
        <v>6.633740503854234</v>
      </c>
      <c r="K51" s="38">
        <f t="shared" si="9"/>
        <v>1.4698765826909594</v>
      </c>
      <c r="L51" s="38">
        <f t="shared" si="10"/>
        <v>0</v>
      </c>
      <c r="M51" s="39">
        <f t="shared" si="11"/>
        <v>118.6659588174491</v>
      </c>
    </row>
    <row r="52" spans="2:13" ht="12.75">
      <c r="B52" s="36">
        <f t="shared" si="5"/>
        <v>47</v>
      </c>
      <c r="C52" s="37">
        <f t="shared" si="6"/>
        <v>33.999999999999986</v>
      </c>
      <c r="D52" s="37">
        <f t="shared" si="0"/>
        <v>0</v>
      </c>
      <c r="E52" s="37">
        <f t="shared" si="7"/>
        <v>3.0599999999999987</v>
      </c>
      <c r="F52" s="37">
        <f t="shared" si="1"/>
        <v>0.4589999999999998</v>
      </c>
      <c r="G52" s="37">
        <f t="shared" si="2"/>
        <v>1.186659588174491</v>
      </c>
      <c r="H52" s="37">
        <f t="shared" si="3"/>
        <v>1.414340411825508</v>
      </c>
      <c r="I52" s="38">
        <f t="shared" si="8"/>
        <v>118.6659588174491</v>
      </c>
      <c r="J52" s="38">
        <f t="shared" si="4"/>
        <v>7.119957529046945</v>
      </c>
      <c r="K52" s="38">
        <f t="shared" si="9"/>
        <v>1.414340411825508</v>
      </c>
      <c r="L52" s="38">
        <f t="shared" si="10"/>
        <v>0</v>
      </c>
      <c r="M52" s="39">
        <f t="shared" si="11"/>
        <v>127.20025675832154</v>
      </c>
    </row>
    <row r="53" spans="2:13" ht="12.75">
      <c r="B53" s="36">
        <f t="shared" si="5"/>
        <v>48</v>
      </c>
      <c r="C53" s="37">
        <f t="shared" si="6"/>
        <v>34.33333333333332</v>
      </c>
      <c r="D53" s="37">
        <f t="shared" si="0"/>
        <v>0</v>
      </c>
      <c r="E53" s="37">
        <f t="shared" si="7"/>
        <v>3.089999999999999</v>
      </c>
      <c r="F53" s="37">
        <f t="shared" si="1"/>
        <v>0.4634999999999998</v>
      </c>
      <c r="G53" s="37">
        <f t="shared" si="2"/>
        <v>1.2720025675832154</v>
      </c>
      <c r="H53" s="37">
        <f t="shared" si="3"/>
        <v>1.3544974324167838</v>
      </c>
      <c r="I53" s="38">
        <f t="shared" si="8"/>
        <v>127.20025675832154</v>
      </c>
      <c r="J53" s="38">
        <f t="shared" si="4"/>
        <v>7.632015405499292</v>
      </c>
      <c r="K53" s="38">
        <f t="shared" si="9"/>
        <v>1.3544974324167838</v>
      </c>
      <c r="L53" s="38">
        <f t="shared" si="10"/>
        <v>0</v>
      </c>
      <c r="M53" s="39">
        <f t="shared" si="11"/>
        <v>136.18676959623764</v>
      </c>
    </row>
    <row r="54" spans="2:13" ht="12.75">
      <c r="B54" s="36">
        <f t="shared" si="5"/>
        <v>49</v>
      </c>
      <c r="C54" s="37">
        <f t="shared" si="6"/>
        <v>34.66666666666666</v>
      </c>
      <c r="D54" s="37">
        <f t="shared" si="0"/>
        <v>0</v>
      </c>
      <c r="E54" s="37">
        <f t="shared" si="7"/>
        <v>3.119999999999999</v>
      </c>
      <c r="F54" s="37">
        <f t="shared" si="1"/>
        <v>0.46799999999999986</v>
      </c>
      <c r="G54" s="37">
        <f t="shared" si="2"/>
        <v>1.3618676959623763</v>
      </c>
      <c r="H54" s="37">
        <f t="shared" si="3"/>
        <v>1.290132304037623</v>
      </c>
      <c r="I54" s="38">
        <f t="shared" si="8"/>
        <v>136.18676959623764</v>
      </c>
      <c r="J54" s="38">
        <f t="shared" si="4"/>
        <v>8.171206175774259</v>
      </c>
      <c r="K54" s="38">
        <f t="shared" si="9"/>
        <v>1.290132304037623</v>
      </c>
      <c r="L54" s="38">
        <f t="shared" si="10"/>
        <v>0</v>
      </c>
      <c r="M54" s="39">
        <f t="shared" si="11"/>
        <v>145.64810807604954</v>
      </c>
    </row>
    <row r="55" spans="2:13" ht="12.75">
      <c r="B55" s="36">
        <f t="shared" si="5"/>
        <v>50</v>
      </c>
      <c r="C55" s="37">
        <f t="shared" si="6"/>
        <v>34.99999999999999</v>
      </c>
      <c r="D55" s="37">
        <f t="shared" si="0"/>
        <v>0</v>
      </c>
      <c r="E55" s="37">
        <f t="shared" si="7"/>
        <v>3.149999999999999</v>
      </c>
      <c r="F55" s="37">
        <f t="shared" si="1"/>
        <v>0.4724999999999998</v>
      </c>
      <c r="G55" s="37">
        <f t="shared" si="2"/>
        <v>1.4564810807604953</v>
      </c>
      <c r="H55" s="37">
        <f t="shared" si="3"/>
        <v>1.221018919239504</v>
      </c>
      <c r="I55" s="38">
        <f t="shared" si="8"/>
        <v>145.64810807604954</v>
      </c>
      <c r="J55" s="38">
        <f t="shared" si="4"/>
        <v>8.738886484562972</v>
      </c>
      <c r="K55" s="38">
        <f t="shared" si="9"/>
        <v>1.221018919239504</v>
      </c>
      <c r="L55" s="38">
        <f t="shared" si="10"/>
        <v>0</v>
      </c>
      <c r="M55" s="39">
        <f t="shared" si="11"/>
        <v>155.60801347985202</v>
      </c>
    </row>
    <row r="56" spans="2:13" ht="12.75">
      <c r="B56" s="36">
        <f t="shared" si="5"/>
        <v>51</v>
      </c>
      <c r="C56" s="37">
        <f t="shared" si="6"/>
        <v>35.33333333333333</v>
      </c>
      <c r="D56" s="37">
        <f t="shared" si="0"/>
        <v>0</v>
      </c>
      <c r="E56" s="37">
        <f t="shared" si="7"/>
        <v>3.1799999999999993</v>
      </c>
      <c r="F56" s="37">
        <f t="shared" si="1"/>
        <v>0.47699999999999987</v>
      </c>
      <c r="G56" s="37">
        <f t="shared" si="2"/>
        <v>1.5560801347985203</v>
      </c>
      <c r="H56" s="37">
        <f t="shared" si="3"/>
        <v>1.1469198652014791</v>
      </c>
      <c r="I56" s="38">
        <f t="shared" si="8"/>
        <v>155.60801347985202</v>
      </c>
      <c r="J56" s="38">
        <f t="shared" si="4"/>
        <v>9.336480808791121</v>
      </c>
      <c r="K56" s="38">
        <f t="shared" si="9"/>
        <v>1.1469198652014791</v>
      </c>
      <c r="L56" s="38">
        <f t="shared" si="10"/>
        <v>0</v>
      </c>
      <c r="M56" s="39">
        <f t="shared" si="11"/>
        <v>166.09141415384462</v>
      </c>
    </row>
    <row r="57" spans="2:13" ht="12.75">
      <c r="B57" s="36">
        <f t="shared" si="5"/>
        <v>52</v>
      </c>
      <c r="C57" s="37">
        <f t="shared" si="6"/>
        <v>35.666666666666664</v>
      </c>
      <c r="D57" s="37">
        <f aca="true" t="shared" si="12" ref="D57:D73">(IF(B57&lt;outstart,0,1))*(IF(B57&gt;(outstart+outdur-1),0,1))*-(1-outfrac)*C57</f>
        <v>0</v>
      </c>
      <c r="E57" s="37">
        <f t="shared" si="7"/>
        <v>3.2099999999999995</v>
      </c>
      <c r="F57" s="37">
        <f aca="true" t="shared" si="13" ref="F57:F73">E57*tax</f>
        <v>0.48149999999999993</v>
      </c>
      <c r="G57" s="37">
        <f aca="true" t="shared" si="14" ref="G57:G73">E57*feescont+I57*feescap+IF((feesabs/1000)&lt;I57,(feesabs/1000),0)</f>
        <v>1.6609141415384463</v>
      </c>
      <c r="H57" s="37">
        <f aca="true" t="shared" si="15" ref="H57:H73">E57-F57-G57</f>
        <v>1.0675858584615532</v>
      </c>
      <c r="I57" s="38">
        <f t="shared" si="8"/>
        <v>166.09141415384462</v>
      </c>
      <c r="J57" s="38">
        <f aca="true" t="shared" si="16" ref="J57:J73">I57*earn</f>
        <v>9.965484849230677</v>
      </c>
      <c r="K57" s="38">
        <f t="shared" si="9"/>
        <v>1.0675858584615532</v>
      </c>
      <c r="L57" s="38">
        <f t="shared" si="10"/>
        <v>0</v>
      </c>
      <c r="M57" s="39">
        <f t="shared" si="11"/>
        <v>177.12448486153684</v>
      </c>
    </row>
    <row r="58" spans="2:13" ht="12.75">
      <c r="B58" s="36">
        <f t="shared" si="5"/>
        <v>53</v>
      </c>
      <c r="C58" s="37">
        <f t="shared" si="6"/>
        <v>36</v>
      </c>
      <c r="D58" s="37">
        <f t="shared" si="12"/>
        <v>0</v>
      </c>
      <c r="E58" s="37">
        <f t="shared" si="7"/>
        <v>3.2399999999999998</v>
      </c>
      <c r="F58" s="37">
        <f t="shared" si="13"/>
        <v>0.48599999999999993</v>
      </c>
      <c r="G58" s="37">
        <f t="shared" si="14"/>
        <v>1.7712448486153685</v>
      </c>
      <c r="H58" s="37">
        <f t="shared" si="15"/>
        <v>0.9827551513846315</v>
      </c>
      <c r="I58" s="38">
        <f t="shared" si="8"/>
        <v>177.12448486153684</v>
      </c>
      <c r="J58" s="38">
        <f t="shared" si="16"/>
        <v>10.62746909169221</v>
      </c>
      <c r="K58" s="38">
        <f t="shared" si="9"/>
        <v>0.9827551513846315</v>
      </c>
      <c r="L58" s="38">
        <f t="shared" si="10"/>
        <v>0</v>
      </c>
      <c r="M58" s="39">
        <f t="shared" si="11"/>
        <v>188.73470910461367</v>
      </c>
    </row>
    <row r="59" spans="2:13" ht="12.75">
      <c r="B59" s="36">
        <f t="shared" si="5"/>
        <v>54</v>
      </c>
      <c r="C59" s="37">
        <f t="shared" si="6"/>
        <v>36.333333333333336</v>
      </c>
      <c r="D59" s="37">
        <f t="shared" si="12"/>
        <v>0</v>
      </c>
      <c r="E59" s="37">
        <f t="shared" si="7"/>
        <v>3.27</v>
      </c>
      <c r="F59" s="37">
        <f t="shared" si="13"/>
        <v>0.4905</v>
      </c>
      <c r="G59" s="37">
        <f t="shared" si="14"/>
        <v>1.8873470910461367</v>
      </c>
      <c r="H59" s="37">
        <f t="shared" si="15"/>
        <v>0.8921529089538633</v>
      </c>
      <c r="I59" s="38">
        <f t="shared" si="8"/>
        <v>188.73470910461367</v>
      </c>
      <c r="J59" s="38">
        <f t="shared" si="16"/>
        <v>11.32408254627682</v>
      </c>
      <c r="K59" s="38">
        <f t="shared" si="9"/>
        <v>0.8921529089538633</v>
      </c>
      <c r="L59" s="38">
        <f t="shared" si="10"/>
        <v>0</v>
      </c>
      <c r="M59" s="39">
        <f t="shared" si="11"/>
        <v>200.95094455984437</v>
      </c>
    </row>
    <row r="60" spans="2:13" ht="12.75">
      <c r="B60" s="36">
        <f t="shared" si="5"/>
        <v>55</v>
      </c>
      <c r="C60" s="37">
        <f t="shared" si="6"/>
        <v>36.66666666666667</v>
      </c>
      <c r="D60" s="37">
        <f t="shared" si="12"/>
        <v>0</v>
      </c>
      <c r="E60" s="37">
        <f t="shared" si="7"/>
        <v>3.3000000000000003</v>
      </c>
      <c r="F60" s="37">
        <f t="shared" si="13"/>
        <v>0.495</v>
      </c>
      <c r="G60" s="37">
        <f t="shared" si="14"/>
        <v>2.009509445598444</v>
      </c>
      <c r="H60" s="37">
        <f t="shared" si="15"/>
        <v>0.7954905544015562</v>
      </c>
      <c r="I60" s="38">
        <f t="shared" si="8"/>
        <v>200.95094455984437</v>
      </c>
      <c r="J60" s="38">
        <f t="shared" si="16"/>
        <v>12.057056673590662</v>
      </c>
      <c r="K60" s="38">
        <f t="shared" si="9"/>
        <v>0.7954905544015562</v>
      </c>
      <c r="L60" s="38">
        <f t="shared" si="10"/>
        <v>0</v>
      </c>
      <c r="M60" s="39">
        <f t="shared" si="11"/>
        <v>213.8034917878366</v>
      </c>
    </row>
    <row r="61" spans="2:13" ht="12.75">
      <c r="B61" s="36">
        <f t="shared" si="5"/>
        <v>56</v>
      </c>
      <c r="C61" s="37">
        <f t="shared" si="6"/>
        <v>37.00000000000001</v>
      </c>
      <c r="D61" s="37">
        <f t="shared" si="12"/>
        <v>0</v>
      </c>
      <c r="E61" s="37">
        <f t="shared" si="7"/>
        <v>3.3300000000000005</v>
      </c>
      <c r="F61" s="37">
        <f t="shared" si="13"/>
        <v>0.49950000000000006</v>
      </c>
      <c r="G61" s="37">
        <f t="shared" si="14"/>
        <v>2.138034917878366</v>
      </c>
      <c r="H61" s="37">
        <f t="shared" si="15"/>
        <v>0.6924650821216347</v>
      </c>
      <c r="I61" s="38">
        <f t="shared" si="8"/>
        <v>213.8034917878366</v>
      </c>
      <c r="J61" s="38">
        <f t="shared" si="16"/>
        <v>12.828209507270197</v>
      </c>
      <c r="K61" s="38">
        <f t="shared" si="9"/>
        <v>0.6924650821216347</v>
      </c>
      <c r="L61" s="38">
        <f t="shared" si="10"/>
        <v>0</v>
      </c>
      <c r="M61" s="39">
        <f t="shared" si="11"/>
        <v>227.32416637722844</v>
      </c>
    </row>
    <row r="62" spans="2:13" ht="12.75">
      <c r="B62" s="36">
        <f t="shared" si="5"/>
        <v>57</v>
      </c>
      <c r="C62" s="37">
        <f t="shared" si="6"/>
        <v>37.33333333333334</v>
      </c>
      <c r="D62" s="37">
        <f t="shared" si="12"/>
        <v>0</v>
      </c>
      <c r="E62" s="37">
        <f t="shared" si="7"/>
        <v>3.3600000000000008</v>
      </c>
      <c r="F62" s="37">
        <f t="shared" si="13"/>
        <v>0.5040000000000001</v>
      </c>
      <c r="G62" s="37">
        <f t="shared" si="14"/>
        <v>2.2732416637722843</v>
      </c>
      <c r="H62" s="37">
        <f t="shared" si="15"/>
        <v>0.5827583362277164</v>
      </c>
      <c r="I62" s="38">
        <f t="shared" si="8"/>
        <v>227.32416637722844</v>
      </c>
      <c r="J62" s="38">
        <f t="shared" si="16"/>
        <v>13.639449982633705</v>
      </c>
      <c r="K62" s="38">
        <f t="shared" si="9"/>
        <v>0.5827583362277164</v>
      </c>
      <c r="L62" s="38">
        <f t="shared" si="10"/>
        <v>0</v>
      </c>
      <c r="M62" s="39">
        <f t="shared" si="11"/>
        <v>241.54637469608986</v>
      </c>
    </row>
    <row r="63" spans="2:13" ht="12.75">
      <c r="B63" s="36">
        <f t="shared" si="5"/>
        <v>58</v>
      </c>
      <c r="C63" s="37">
        <f t="shared" si="6"/>
        <v>37.66666666666668</v>
      </c>
      <c r="D63" s="37">
        <f t="shared" si="12"/>
        <v>0</v>
      </c>
      <c r="E63" s="37">
        <f t="shared" si="7"/>
        <v>3.390000000000001</v>
      </c>
      <c r="F63" s="37">
        <f t="shared" si="13"/>
        <v>0.5085000000000002</v>
      </c>
      <c r="G63" s="37">
        <f t="shared" si="14"/>
        <v>2.415463746960899</v>
      </c>
      <c r="H63" s="37">
        <f t="shared" si="15"/>
        <v>0.466036253039102</v>
      </c>
      <c r="I63" s="38">
        <f t="shared" si="8"/>
        <v>241.54637469608986</v>
      </c>
      <c r="J63" s="38">
        <f t="shared" si="16"/>
        <v>14.49278248176539</v>
      </c>
      <c r="K63" s="38">
        <f t="shared" si="9"/>
        <v>0.466036253039102</v>
      </c>
      <c r="L63" s="38">
        <f t="shared" si="10"/>
        <v>0</v>
      </c>
      <c r="M63" s="39">
        <f t="shared" si="11"/>
        <v>256.50519343089434</v>
      </c>
    </row>
    <row r="64" spans="2:13" ht="12.75">
      <c r="B64" s="36">
        <f t="shared" si="5"/>
        <v>59</v>
      </c>
      <c r="C64" s="37">
        <f t="shared" si="6"/>
        <v>38.000000000000014</v>
      </c>
      <c r="D64" s="37">
        <f t="shared" si="12"/>
        <v>0</v>
      </c>
      <c r="E64" s="37">
        <f t="shared" si="7"/>
        <v>3.4200000000000013</v>
      </c>
      <c r="F64" s="37">
        <f t="shared" si="13"/>
        <v>0.5130000000000001</v>
      </c>
      <c r="G64" s="37">
        <f t="shared" si="14"/>
        <v>2.5650519343089435</v>
      </c>
      <c r="H64" s="37">
        <f t="shared" si="15"/>
        <v>0.3419480656910574</v>
      </c>
      <c r="I64" s="38">
        <f t="shared" si="8"/>
        <v>256.50519343089434</v>
      </c>
      <c r="J64" s="38">
        <f t="shared" si="16"/>
        <v>15.39031160585366</v>
      </c>
      <c r="K64" s="38">
        <f t="shared" si="9"/>
        <v>0.3419480656910574</v>
      </c>
      <c r="L64" s="38">
        <f t="shared" si="10"/>
        <v>0</v>
      </c>
      <c r="M64" s="39">
        <f t="shared" si="11"/>
        <v>272.237453102439</v>
      </c>
    </row>
    <row r="65" spans="2:13" ht="12.75">
      <c r="B65" s="36">
        <f t="shared" si="5"/>
        <v>60</v>
      </c>
      <c r="C65" s="37">
        <f t="shared" si="6"/>
        <v>38.33333333333335</v>
      </c>
      <c r="D65" s="37">
        <f t="shared" si="12"/>
        <v>0</v>
      </c>
      <c r="E65" s="37">
        <f t="shared" si="7"/>
        <v>3.4500000000000015</v>
      </c>
      <c r="F65" s="37">
        <f t="shared" si="13"/>
        <v>0.5175000000000002</v>
      </c>
      <c r="G65" s="37">
        <f t="shared" si="14"/>
        <v>2.72237453102439</v>
      </c>
      <c r="H65" s="37">
        <f t="shared" si="15"/>
        <v>0.21012546897561135</v>
      </c>
      <c r="I65" s="38">
        <f t="shared" si="8"/>
        <v>272.237453102439</v>
      </c>
      <c r="J65" s="38">
        <f t="shared" si="16"/>
        <v>16.334247186146342</v>
      </c>
      <c r="K65" s="38">
        <f t="shared" si="9"/>
        <v>0.21012546897561135</v>
      </c>
      <c r="L65" s="38">
        <f t="shared" si="10"/>
        <v>0</v>
      </c>
      <c r="M65" s="39">
        <f t="shared" si="11"/>
        <v>288.78182575756097</v>
      </c>
    </row>
    <row r="66" spans="2:13" ht="12.75">
      <c r="B66" s="36">
        <f t="shared" si="5"/>
        <v>61</v>
      </c>
      <c r="C66" s="37">
        <f t="shared" si="6"/>
        <v>38.666666666666686</v>
      </c>
      <c r="D66" s="37">
        <f t="shared" si="12"/>
        <v>0</v>
      </c>
      <c r="E66" s="37">
        <f t="shared" si="7"/>
        <v>3.4800000000000018</v>
      </c>
      <c r="F66" s="37">
        <f t="shared" si="13"/>
        <v>0.5220000000000002</v>
      </c>
      <c r="G66" s="37">
        <f t="shared" si="14"/>
        <v>2.8878182575756095</v>
      </c>
      <c r="H66" s="37">
        <f t="shared" si="15"/>
        <v>0.07018174242439201</v>
      </c>
      <c r="I66" s="38">
        <f t="shared" si="8"/>
        <v>288.78182575756097</v>
      </c>
      <c r="J66" s="38">
        <f t="shared" si="16"/>
        <v>17.326909545453656</v>
      </c>
      <c r="K66" s="38">
        <f t="shared" si="9"/>
        <v>0.07018174242439201</v>
      </c>
      <c r="L66" s="38">
        <f t="shared" si="10"/>
        <v>0</v>
      </c>
      <c r="M66" s="39">
        <f t="shared" si="11"/>
        <v>306.178917045439</v>
      </c>
    </row>
    <row r="67" spans="2:13" ht="12.75">
      <c r="B67" s="36">
        <f t="shared" si="5"/>
        <v>62</v>
      </c>
      <c r="C67" s="37">
        <f t="shared" si="6"/>
        <v>39.00000000000002</v>
      </c>
      <c r="D67" s="37">
        <f t="shared" si="12"/>
        <v>0</v>
      </c>
      <c r="E67" s="37">
        <f t="shared" si="7"/>
        <v>3.510000000000002</v>
      </c>
      <c r="F67" s="37">
        <f t="shared" si="13"/>
        <v>0.5265000000000003</v>
      </c>
      <c r="G67" s="37">
        <f t="shared" si="14"/>
        <v>3.06178917045439</v>
      </c>
      <c r="H67" s="37">
        <f t="shared" si="15"/>
        <v>-0.07828917045438821</v>
      </c>
      <c r="I67" s="38">
        <f t="shared" si="8"/>
        <v>306.178917045439</v>
      </c>
      <c r="J67" s="38">
        <f t="shared" si="16"/>
        <v>18.37073502272634</v>
      </c>
      <c r="K67" s="38">
        <f t="shared" si="9"/>
        <v>-0.07828917045438821</v>
      </c>
      <c r="L67" s="38">
        <f t="shared" si="10"/>
        <v>0</v>
      </c>
      <c r="M67" s="39">
        <f t="shared" si="11"/>
        <v>324.47136289771095</v>
      </c>
    </row>
    <row r="68" spans="2:13" ht="12.75">
      <c r="B68" s="36">
        <f t="shared" si="5"/>
        <v>63</v>
      </c>
      <c r="C68" s="37">
        <f t="shared" si="6"/>
        <v>39.33333333333336</v>
      </c>
      <c r="D68" s="37">
        <f t="shared" si="12"/>
        <v>0</v>
      </c>
      <c r="E68" s="37">
        <f t="shared" si="7"/>
        <v>3.540000000000002</v>
      </c>
      <c r="F68" s="37">
        <f t="shared" si="13"/>
        <v>0.5310000000000002</v>
      </c>
      <c r="G68" s="37">
        <f t="shared" si="14"/>
        <v>3.2447136289771095</v>
      </c>
      <c r="H68" s="37">
        <f t="shared" si="15"/>
        <v>-0.2357136289771078</v>
      </c>
      <c r="I68" s="38">
        <f t="shared" si="8"/>
        <v>324.47136289771095</v>
      </c>
      <c r="J68" s="38">
        <f t="shared" si="16"/>
        <v>19.468281773862657</v>
      </c>
      <c r="K68" s="38">
        <f t="shared" si="9"/>
        <v>-0.2357136289771078</v>
      </c>
      <c r="L68" s="38">
        <f t="shared" si="10"/>
        <v>0</v>
      </c>
      <c r="M68" s="39">
        <f t="shared" si="11"/>
        <v>343.7039310425965</v>
      </c>
    </row>
    <row r="69" spans="2:13" ht="12.75">
      <c r="B69" s="36">
        <f t="shared" si="5"/>
        <v>64</v>
      </c>
      <c r="C69" s="37">
        <f t="shared" si="6"/>
        <v>39.66666666666669</v>
      </c>
      <c r="D69" s="37">
        <f t="shared" si="12"/>
        <v>0</v>
      </c>
      <c r="E69" s="37">
        <f t="shared" si="7"/>
        <v>3.570000000000002</v>
      </c>
      <c r="F69" s="37">
        <f t="shared" si="13"/>
        <v>0.5355000000000003</v>
      </c>
      <c r="G69" s="37">
        <f t="shared" si="14"/>
        <v>3.437039310425965</v>
      </c>
      <c r="H69" s="37">
        <f t="shared" si="15"/>
        <v>-0.40253931042596314</v>
      </c>
      <c r="I69" s="38">
        <f t="shared" si="8"/>
        <v>343.7039310425965</v>
      </c>
      <c r="J69" s="38">
        <f t="shared" si="16"/>
        <v>20.622235862555787</v>
      </c>
      <c r="K69" s="38">
        <f t="shared" si="9"/>
        <v>-0.40253931042596314</v>
      </c>
      <c r="L69" s="38">
        <f t="shared" si="10"/>
        <v>0</v>
      </c>
      <c r="M69" s="39">
        <f t="shared" si="11"/>
        <v>363.9236275947263</v>
      </c>
    </row>
    <row r="70" spans="2:13" ht="12.75">
      <c r="B70" s="36">
        <f t="shared" si="5"/>
        <v>65</v>
      </c>
      <c r="C70" s="37">
        <f t="shared" si="6"/>
        <v>40.00000000000003</v>
      </c>
      <c r="D70" s="37">
        <f t="shared" si="12"/>
        <v>0</v>
      </c>
      <c r="E70" s="37">
        <f t="shared" si="7"/>
        <v>3.6000000000000023</v>
      </c>
      <c r="F70" s="37">
        <f t="shared" si="13"/>
        <v>0.5400000000000004</v>
      </c>
      <c r="G70" s="37">
        <f t="shared" si="14"/>
        <v>3.639236275947263</v>
      </c>
      <c r="H70" s="37">
        <f t="shared" si="15"/>
        <v>-0.5792362759472613</v>
      </c>
      <c r="I70" s="38">
        <f t="shared" si="8"/>
        <v>363.9236275947263</v>
      </c>
      <c r="J70" s="38">
        <f t="shared" si="16"/>
        <v>21.835417655683578</v>
      </c>
      <c r="K70" s="38">
        <f t="shared" si="9"/>
        <v>-0.5792362759472613</v>
      </c>
      <c r="L70" s="38">
        <f t="shared" si="10"/>
        <v>0</v>
      </c>
      <c r="M70" s="39">
        <f t="shared" si="11"/>
        <v>385.1798089744626</v>
      </c>
    </row>
    <row r="71" spans="2:13" ht="12.75">
      <c r="B71" s="36">
        <f t="shared" si="5"/>
        <v>66</v>
      </c>
      <c r="C71" s="37">
        <f t="shared" si="6"/>
        <v>40.333333333333364</v>
      </c>
      <c r="D71" s="37">
        <f t="shared" si="12"/>
        <v>0</v>
      </c>
      <c r="E71" s="37">
        <f t="shared" si="7"/>
        <v>0</v>
      </c>
      <c r="F71" s="37">
        <f t="shared" si="13"/>
        <v>0</v>
      </c>
      <c r="G71" s="37">
        <f t="shared" si="14"/>
        <v>3.8517980897446265</v>
      </c>
      <c r="H71" s="37">
        <f t="shared" si="15"/>
        <v>-3.8517980897446265</v>
      </c>
      <c r="I71" s="38">
        <f t="shared" si="8"/>
        <v>385.1798089744626</v>
      </c>
      <c r="J71" s="38">
        <f t="shared" si="16"/>
        <v>23.110788538467755</v>
      </c>
      <c r="K71" s="38">
        <f t="shared" si="9"/>
        <v>-3.8517980897446265</v>
      </c>
      <c r="L71" s="38">
        <f t="shared" si="10"/>
        <v>0</v>
      </c>
      <c r="M71" s="39">
        <f t="shared" si="11"/>
        <v>404.43879942318574</v>
      </c>
    </row>
    <row r="72" spans="2:13" ht="12.75">
      <c r="B72" s="36">
        <f t="shared" si="5"/>
        <v>67</v>
      </c>
      <c r="C72" s="37">
        <f t="shared" si="6"/>
        <v>40.6666666666667</v>
      </c>
      <c r="D72" s="37">
        <f t="shared" si="12"/>
        <v>0</v>
      </c>
      <c r="E72" s="37">
        <f t="shared" si="7"/>
        <v>0</v>
      </c>
      <c r="F72" s="37">
        <f t="shared" si="13"/>
        <v>0</v>
      </c>
      <c r="G72" s="37">
        <f t="shared" si="14"/>
        <v>4.044387994231857</v>
      </c>
      <c r="H72" s="37">
        <f t="shared" si="15"/>
        <v>-4.044387994231857</v>
      </c>
      <c r="I72" s="38">
        <f t="shared" si="8"/>
        <v>404.43879942318574</v>
      </c>
      <c r="J72" s="38">
        <f t="shared" si="16"/>
        <v>24.266327965391145</v>
      </c>
      <c r="K72" s="38">
        <f t="shared" si="9"/>
        <v>-4.044387994231857</v>
      </c>
      <c r="L72" s="38">
        <f t="shared" si="10"/>
        <v>0</v>
      </c>
      <c r="M72" s="39">
        <f t="shared" si="11"/>
        <v>424.66073939434506</v>
      </c>
    </row>
    <row r="73" spans="2:13" ht="13.5" thickBot="1">
      <c r="B73" s="40">
        <f t="shared" si="5"/>
        <v>68</v>
      </c>
      <c r="C73" s="41">
        <f t="shared" si="6"/>
        <v>41.000000000000036</v>
      </c>
      <c r="D73" s="41">
        <f t="shared" si="12"/>
        <v>0</v>
      </c>
      <c r="E73" s="41">
        <f t="shared" si="7"/>
        <v>0</v>
      </c>
      <c r="F73" s="41">
        <f t="shared" si="13"/>
        <v>0</v>
      </c>
      <c r="G73" s="41">
        <f t="shared" si="14"/>
        <v>4.24660739394345</v>
      </c>
      <c r="H73" s="41">
        <f t="shared" si="15"/>
        <v>-4.24660739394345</v>
      </c>
      <c r="I73" s="42">
        <f t="shared" si="8"/>
        <v>424.66073939434506</v>
      </c>
      <c r="J73" s="42">
        <f t="shared" si="16"/>
        <v>25.479644363660704</v>
      </c>
      <c r="K73" s="42">
        <f t="shared" si="9"/>
        <v>-4.24660739394345</v>
      </c>
      <c r="L73" s="42">
        <f t="shared" si="10"/>
        <v>0</v>
      </c>
      <c r="M73" s="43">
        <f t="shared" si="11"/>
        <v>445.8937763640623</v>
      </c>
    </row>
    <row r="74" ht="13.5" thickTop="1">
      <c r="D74" s="4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A1:W58"/>
  <sheetViews>
    <sheetView showGridLines="0" workbookViewId="0" topLeftCell="A1">
      <selection activeCell="A1" sqref="A1"/>
    </sheetView>
  </sheetViews>
  <sheetFormatPr defaultColWidth="9.140625" defaultRowHeight="12.75"/>
  <cols>
    <col min="1" max="8" width="11.7109375" style="50" customWidth="1"/>
    <col min="9" max="11" width="9.7109375" style="50" customWidth="1"/>
    <col min="12" max="12" width="11.28125" style="50" customWidth="1"/>
    <col min="13" max="16384" width="9.7109375" style="50" customWidth="1"/>
  </cols>
  <sheetData>
    <row r="1" spans="1:5" ht="15.75">
      <c r="A1" s="49" t="s">
        <v>42</v>
      </c>
      <c r="D1" s="51"/>
      <c r="E1" s="51"/>
    </row>
    <row r="2" spans="1:5" ht="15.75">
      <c r="A2" s="52"/>
      <c r="C2" s="49"/>
      <c r="D2" s="51"/>
      <c r="E2" s="51"/>
    </row>
    <row r="3" spans="5:8" ht="12.75">
      <c r="E3" s="53" t="s">
        <v>43</v>
      </c>
      <c r="F3" s="54"/>
      <c r="G3" s="55"/>
      <c r="H3" s="56"/>
    </row>
    <row r="4" spans="1:8" ht="12.75">
      <c r="A4" s="57" t="s">
        <v>44</v>
      </c>
      <c r="B4" s="58"/>
      <c r="C4" s="59">
        <v>0.05</v>
      </c>
      <c r="D4" s="60"/>
      <c r="E4" s="61" t="s">
        <v>45</v>
      </c>
      <c r="F4" s="62"/>
      <c r="G4" s="63"/>
      <c r="H4" s="64">
        <f>T57</f>
        <v>225369.28903609264</v>
      </c>
    </row>
    <row r="5" spans="1:8" ht="12.75">
      <c r="A5" s="57" t="s">
        <v>46</v>
      </c>
      <c r="B5" s="58"/>
      <c r="C5" s="59">
        <v>0.2</v>
      </c>
      <c r="D5" s="60"/>
      <c r="E5" s="61" t="s">
        <v>47</v>
      </c>
      <c r="F5" s="62"/>
      <c r="G5" s="61"/>
      <c r="H5" s="64">
        <f>W57</f>
        <v>373746.8003223887</v>
      </c>
    </row>
    <row r="6" spans="1:8" ht="12.75">
      <c r="A6" s="57" t="s">
        <v>48</v>
      </c>
      <c r="B6" s="58"/>
      <c r="C6" s="59">
        <v>0</v>
      </c>
      <c r="D6" s="65"/>
      <c r="E6" s="61" t="s">
        <v>49</v>
      </c>
      <c r="F6" s="61"/>
      <c r="G6" s="61"/>
      <c r="H6" s="64">
        <f>H5-H4</f>
        <v>148377.51128629607</v>
      </c>
    </row>
    <row r="7" spans="8:23" ht="12.75">
      <c r="H7" s="66" t="s">
        <v>50</v>
      </c>
      <c r="I7" s="67"/>
      <c r="J7" s="67"/>
      <c r="K7" s="67"/>
      <c r="L7" s="68" t="s">
        <v>51</v>
      </c>
      <c r="M7" s="69"/>
      <c r="N7" s="69"/>
      <c r="O7" s="69"/>
      <c r="P7" s="69"/>
      <c r="Q7" s="70"/>
      <c r="R7" s="70"/>
      <c r="S7" s="70"/>
      <c r="T7" s="70"/>
      <c r="U7" s="70"/>
      <c r="V7" s="69"/>
      <c r="W7" s="69"/>
    </row>
    <row r="8" spans="1:11" ht="12.75">
      <c r="A8" s="71" t="s">
        <v>52</v>
      </c>
      <c r="B8" s="72"/>
      <c r="C8" s="73"/>
      <c r="D8" s="74">
        <f>G56</f>
        <v>488552.02162963495</v>
      </c>
      <c r="E8" s="75" t="s">
        <v>53</v>
      </c>
      <c r="F8" s="76"/>
      <c r="G8" s="77">
        <v>1</v>
      </c>
      <c r="H8" s="78" t="s">
        <v>54</v>
      </c>
      <c r="I8" s="79">
        <v>150000</v>
      </c>
      <c r="J8" s="78" t="s">
        <v>55</v>
      </c>
      <c r="K8" s="80">
        <v>0.02</v>
      </c>
    </row>
    <row r="9" spans="1:11" ht="12.75">
      <c r="A9" s="81"/>
      <c r="B9" s="82"/>
      <c r="C9" s="82"/>
      <c r="D9" s="83"/>
      <c r="E9" s="84"/>
      <c r="F9" s="85"/>
      <c r="H9" s="78" t="s">
        <v>56</v>
      </c>
      <c r="I9" s="86">
        <v>30</v>
      </c>
      <c r="J9" s="78" t="s">
        <v>57</v>
      </c>
      <c r="K9" s="87">
        <f>K8+C4</f>
        <v>0.07</v>
      </c>
    </row>
    <row r="10" spans="8:23" ht="12.75">
      <c r="H10" s="78" t="s">
        <v>58</v>
      </c>
      <c r="I10" s="78"/>
      <c r="J10" s="78"/>
      <c r="K10" s="88">
        <f>I8*K9/(1-1/(1+K9)^I9)</f>
        <v>12087.96052666668</v>
      </c>
      <c r="L10" s="89" t="s">
        <v>59</v>
      </c>
      <c r="M10" s="90"/>
      <c r="N10" s="90"/>
      <c r="O10" s="90"/>
      <c r="P10" s="90"/>
      <c r="Q10" s="89" t="s">
        <v>60</v>
      </c>
      <c r="R10" s="90"/>
      <c r="S10" s="90"/>
      <c r="T10" s="90"/>
      <c r="U10" s="89" t="s">
        <v>61</v>
      </c>
      <c r="V10" s="90"/>
      <c r="W10" s="90"/>
    </row>
    <row r="11" spans="1:23" ht="25.5" customHeight="1">
      <c r="A11" s="91" t="s">
        <v>28</v>
      </c>
      <c r="B11" s="91" t="s">
        <v>62</v>
      </c>
      <c r="C11" s="91" t="s">
        <v>63</v>
      </c>
      <c r="D11" s="91" t="s">
        <v>64</v>
      </c>
      <c r="E11" s="91" t="s">
        <v>65</v>
      </c>
      <c r="F11" s="91" t="s">
        <v>66</v>
      </c>
      <c r="G11" s="91" t="s">
        <v>67</v>
      </c>
      <c r="H11" s="92" t="s">
        <v>68</v>
      </c>
      <c r="I11" s="92" t="s">
        <v>69</v>
      </c>
      <c r="J11" s="92" t="s">
        <v>70</v>
      </c>
      <c r="K11" s="93" t="s">
        <v>71</v>
      </c>
      <c r="L11" s="94" t="s">
        <v>68</v>
      </c>
      <c r="M11" s="94" t="s">
        <v>69</v>
      </c>
      <c r="N11" s="94" t="s">
        <v>72</v>
      </c>
      <c r="O11" s="94" t="s">
        <v>73</v>
      </c>
      <c r="P11" s="94" t="s">
        <v>74</v>
      </c>
      <c r="Q11" s="95" t="s">
        <v>75</v>
      </c>
      <c r="R11" s="95" t="s">
        <v>65</v>
      </c>
      <c r="S11" s="95" t="s">
        <v>66</v>
      </c>
      <c r="T11" s="95" t="s">
        <v>67</v>
      </c>
      <c r="U11" s="96" t="s">
        <v>76</v>
      </c>
      <c r="V11" s="96" t="s">
        <v>77</v>
      </c>
      <c r="W11" s="96" t="s">
        <v>67</v>
      </c>
    </row>
    <row r="12" spans="1:23" ht="12.75">
      <c r="A12" s="97">
        <v>21</v>
      </c>
      <c r="B12" s="98">
        <v>25000</v>
      </c>
      <c r="C12" s="98">
        <v>25000</v>
      </c>
      <c r="D12" s="98">
        <f>(B12+C12)*0.09</f>
        <v>4500</v>
      </c>
      <c r="E12" s="98">
        <f>D12*0.85</f>
        <v>3825</v>
      </c>
      <c r="F12" s="98">
        <f aca="true" t="shared" si="0" ref="F12:F55">E12*(1-C$5)*(1-C$6)</f>
        <v>3060</v>
      </c>
      <c r="G12" s="98">
        <f aca="true" t="shared" si="1" ref="G12:G55">F12*(1+C$4)^(A$55-A12)</f>
        <v>24937.980814592294</v>
      </c>
      <c r="H12" s="99"/>
      <c r="I12" s="99"/>
      <c r="J12" s="99"/>
      <c r="K12" s="100">
        <f aca="true" t="shared" si="2" ref="K12:K55">IF((H12=0),(B12+C12),(B12+C12-payment))</f>
        <v>50000</v>
      </c>
      <c r="L12" s="101"/>
      <c r="M12" s="101"/>
      <c r="N12" s="101"/>
      <c r="O12" s="101"/>
      <c r="P12" s="101"/>
      <c r="Q12" s="102">
        <f aca="true" t="shared" si="3" ref="Q12:Q55">D12-O12/0.85</f>
        <v>4500</v>
      </c>
      <c r="R12" s="102">
        <f aca="true" t="shared" si="4" ref="R12:R55">Q12*0.85</f>
        <v>3825</v>
      </c>
      <c r="S12" s="103">
        <f aca="true" t="shared" si="5" ref="S12:S55">R12*(1-C$5)*(1-C$6)</f>
        <v>3060</v>
      </c>
      <c r="T12" s="103">
        <f aca="true" t="shared" si="6" ref="T12:T55">S12*(1+C$4)^(A$55-A12)</f>
        <v>24937.980814592294</v>
      </c>
      <c r="U12" s="104">
        <f aca="true" t="shared" si="7" ref="U12:U55">(B12+C12)-(M12+N12)</f>
        <v>50000</v>
      </c>
      <c r="V12" s="104">
        <f aca="true" t="shared" si="8" ref="V12:V55">U12-K12</f>
        <v>0</v>
      </c>
      <c r="W12" s="105">
        <f aca="true" t="shared" si="9" ref="W12:W55">G$8*(V12*(1+C$4)^(A$55-A12))</f>
        <v>0</v>
      </c>
    </row>
    <row r="13" spans="1:23" ht="12.75">
      <c r="A13" s="97">
        <f aca="true" t="shared" si="10" ref="A13:A55">1+A12</f>
        <v>22</v>
      </c>
      <c r="B13" s="98">
        <f aca="true" t="shared" si="11" ref="B13:B54">B12+(B$55-B$12)/43</f>
        <v>25465.116279069767</v>
      </c>
      <c r="C13" s="98">
        <f>C12</f>
        <v>25000</v>
      </c>
      <c r="D13" s="98">
        <f aca="true" t="shared" si="12" ref="D13:D55">(B13+C13)*0.09</f>
        <v>4541.86046511628</v>
      </c>
      <c r="E13" s="98">
        <f aca="true" t="shared" si="13" ref="E13:E55">D13*0.85</f>
        <v>3860.5813953488373</v>
      </c>
      <c r="F13" s="98">
        <f t="shared" si="0"/>
        <v>3088.46511627907</v>
      </c>
      <c r="G13" s="98">
        <f t="shared" si="1"/>
        <v>23971.392410925924</v>
      </c>
      <c r="H13" s="99"/>
      <c r="I13" s="99"/>
      <c r="J13" s="99"/>
      <c r="K13" s="100">
        <f t="shared" si="2"/>
        <v>50465.11627906977</v>
      </c>
      <c r="L13" s="101"/>
      <c r="M13" s="101"/>
      <c r="N13" s="101"/>
      <c r="O13" s="101"/>
      <c r="P13" s="101"/>
      <c r="Q13" s="102">
        <f t="shared" si="3"/>
        <v>4541.86046511628</v>
      </c>
      <c r="R13" s="102">
        <f t="shared" si="4"/>
        <v>3860.5813953488373</v>
      </c>
      <c r="S13" s="103">
        <f t="shared" si="5"/>
        <v>3088.46511627907</v>
      </c>
      <c r="T13" s="103">
        <f t="shared" si="6"/>
        <v>23971.392410925924</v>
      </c>
      <c r="U13" s="104">
        <f t="shared" si="7"/>
        <v>50465.11627906977</v>
      </c>
      <c r="V13" s="104">
        <f t="shared" si="8"/>
        <v>0</v>
      </c>
      <c r="W13" s="105">
        <f t="shared" si="9"/>
        <v>0</v>
      </c>
    </row>
    <row r="14" spans="1:23" ht="12.75">
      <c r="A14" s="97">
        <f t="shared" si="10"/>
        <v>23</v>
      </c>
      <c r="B14" s="98">
        <f t="shared" si="11"/>
        <v>25930.232558139534</v>
      </c>
      <c r="C14" s="98">
        <f>C13</f>
        <v>25000</v>
      </c>
      <c r="D14" s="98">
        <f t="shared" si="12"/>
        <v>4583.720930232558</v>
      </c>
      <c r="E14" s="98">
        <f t="shared" si="13"/>
        <v>3896.162790697674</v>
      </c>
      <c r="F14" s="98">
        <f t="shared" si="0"/>
        <v>3116.9302325581393</v>
      </c>
      <c r="G14" s="98">
        <f t="shared" si="1"/>
        <v>23040.311336373827</v>
      </c>
      <c r="H14" s="99"/>
      <c r="I14" s="99"/>
      <c r="J14" s="99"/>
      <c r="K14" s="100">
        <f t="shared" si="2"/>
        <v>50930.232558139534</v>
      </c>
      <c r="L14" s="101"/>
      <c r="M14" s="101"/>
      <c r="N14" s="101"/>
      <c r="O14" s="101"/>
      <c r="P14" s="101"/>
      <c r="Q14" s="102">
        <f t="shared" si="3"/>
        <v>4583.720930232558</v>
      </c>
      <c r="R14" s="102">
        <f t="shared" si="4"/>
        <v>3896.162790697674</v>
      </c>
      <c r="S14" s="103">
        <f t="shared" si="5"/>
        <v>3116.9302325581393</v>
      </c>
      <c r="T14" s="103">
        <f t="shared" si="6"/>
        <v>23040.311336373827</v>
      </c>
      <c r="U14" s="104">
        <f t="shared" si="7"/>
        <v>50930.232558139534</v>
      </c>
      <c r="V14" s="104">
        <f t="shared" si="8"/>
        <v>0</v>
      </c>
      <c r="W14" s="105">
        <f t="shared" si="9"/>
        <v>0</v>
      </c>
    </row>
    <row r="15" spans="1:23" ht="12.75">
      <c r="A15" s="97">
        <f t="shared" si="10"/>
        <v>24</v>
      </c>
      <c r="B15" s="98">
        <f t="shared" si="11"/>
        <v>26395.3488372093</v>
      </c>
      <c r="C15" s="98">
        <f>C14</f>
        <v>25000</v>
      </c>
      <c r="D15" s="98">
        <f t="shared" si="12"/>
        <v>4625.581395348837</v>
      </c>
      <c r="E15" s="98">
        <f t="shared" si="13"/>
        <v>3931.744186046511</v>
      </c>
      <c r="F15" s="98">
        <f t="shared" si="0"/>
        <v>3145.395348837209</v>
      </c>
      <c r="G15" s="98">
        <f t="shared" si="1"/>
        <v>22143.547750983325</v>
      </c>
      <c r="H15" s="106">
        <f>I8</f>
        <v>150000</v>
      </c>
      <c r="I15" s="106">
        <f aca="true" t="shared" si="14" ref="I15:I55">IF((H15&gt;0),H15*K$9,0)</f>
        <v>10500.000000000002</v>
      </c>
      <c r="J15" s="106">
        <f aca="true" t="shared" si="15" ref="J15:J55">IF((H15&gt;0),payment-I15,0)</f>
        <v>1587.9605266666786</v>
      </c>
      <c r="K15" s="100">
        <f t="shared" si="2"/>
        <v>39307.38831054262</v>
      </c>
      <c r="L15" s="101">
        <f>I8</f>
        <v>150000</v>
      </c>
      <c r="M15" s="101">
        <f aca="true" t="shared" si="16" ref="M15:M55">IF((L15&gt;0),(L15*K$9),0)</f>
        <v>10500.000000000002</v>
      </c>
      <c r="N15" s="101">
        <f aca="true" t="shared" si="17" ref="N15:N55">IF((L15&gt;0),(IF(((L15-M15)&gt;payment),(payment-M15),(L15-M15))),0)</f>
        <v>1587.9605266666786</v>
      </c>
      <c r="O15" s="101">
        <f aca="true" t="shared" si="18" ref="O15:O55">IF((L15&gt;1),(IF(((0.85*D15)&lt;(L15-N15)),(0.85*D15),(L15-N15))),0)</f>
        <v>3931.744186046511</v>
      </c>
      <c r="P15" s="101">
        <f aca="true" t="shared" si="19" ref="P15:P55">IF((O15&gt;0),(O15*(0.15/0.85)),0)</f>
        <v>693.8372093023255</v>
      </c>
      <c r="Q15" s="102">
        <f t="shared" si="3"/>
        <v>0</v>
      </c>
      <c r="R15" s="102">
        <f t="shared" si="4"/>
        <v>0</v>
      </c>
      <c r="S15" s="103">
        <f t="shared" si="5"/>
        <v>0</v>
      </c>
      <c r="T15" s="103">
        <f t="shared" si="6"/>
        <v>0</v>
      </c>
      <c r="U15" s="104">
        <f t="shared" si="7"/>
        <v>39307.38831054262</v>
      </c>
      <c r="V15" s="104">
        <f t="shared" si="8"/>
        <v>0</v>
      </c>
      <c r="W15" s="105">
        <f t="shared" si="9"/>
        <v>0</v>
      </c>
    </row>
    <row r="16" spans="1:23" ht="12.75">
      <c r="A16" s="97">
        <f t="shared" si="10"/>
        <v>25</v>
      </c>
      <c r="B16" s="98">
        <f t="shared" si="11"/>
        <v>26860.46511627907</v>
      </c>
      <c r="C16" s="98">
        <f>C15</f>
        <v>25000</v>
      </c>
      <c r="D16" s="98">
        <f t="shared" si="12"/>
        <v>4667.441860465116</v>
      </c>
      <c r="E16" s="98">
        <f t="shared" si="13"/>
        <v>3967.3255813953488</v>
      </c>
      <c r="F16" s="98">
        <f t="shared" si="0"/>
        <v>3173.860465116279</v>
      </c>
      <c r="G16" s="98">
        <f t="shared" si="1"/>
        <v>21279.94461740695</v>
      </c>
      <c r="H16" s="106">
        <f aca="true" t="shared" si="20" ref="H16:H55">IF(((H15-J15)&gt;1),(H15-J15),0)</f>
        <v>148412.0394733333</v>
      </c>
      <c r="I16" s="106">
        <f t="shared" si="14"/>
        <v>10388.842763133332</v>
      </c>
      <c r="J16" s="106">
        <f t="shared" si="15"/>
        <v>1699.117763533348</v>
      </c>
      <c r="K16" s="100">
        <f t="shared" si="2"/>
        <v>39772.50458961239</v>
      </c>
      <c r="L16" s="101">
        <f aca="true" t="shared" si="21" ref="L16:L55">IF(((L15-N15)&gt;1),(L15-N15-O15),0)</f>
        <v>144480.2952872868</v>
      </c>
      <c r="M16" s="101">
        <f t="shared" si="16"/>
        <v>10113.620670110076</v>
      </c>
      <c r="N16" s="101">
        <f t="shared" si="17"/>
        <v>1974.339856556604</v>
      </c>
      <c r="O16" s="101">
        <f t="shared" si="18"/>
        <v>3967.3255813953488</v>
      </c>
      <c r="P16" s="101">
        <f t="shared" si="19"/>
        <v>700.1162790697675</v>
      </c>
      <c r="Q16" s="102">
        <f t="shared" si="3"/>
        <v>0</v>
      </c>
      <c r="R16" s="102">
        <f t="shared" si="4"/>
        <v>0</v>
      </c>
      <c r="S16" s="103">
        <f t="shared" si="5"/>
        <v>0</v>
      </c>
      <c r="T16" s="103">
        <f t="shared" si="6"/>
        <v>0</v>
      </c>
      <c r="U16" s="104">
        <f t="shared" si="7"/>
        <v>39772.50458961239</v>
      </c>
      <c r="V16" s="104">
        <f t="shared" si="8"/>
        <v>0</v>
      </c>
      <c r="W16" s="105">
        <f t="shared" si="9"/>
        <v>0</v>
      </c>
    </row>
    <row r="17" spans="1:23" ht="12.75">
      <c r="A17" s="97">
        <f t="shared" si="10"/>
        <v>26</v>
      </c>
      <c r="B17" s="98">
        <f t="shared" si="11"/>
        <v>27325.581395348836</v>
      </c>
      <c r="C17" s="98"/>
      <c r="D17" s="98">
        <f t="shared" si="12"/>
        <v>2459.302325581395</v>
      </c>
      <c r="E17" s="98">
        <f t="shared" si="13"/>
        <v>2090.4069767441856</v>
      </c>
      <c r="F17" s="98">
        <f t="shared" si="0"/>
        <v>1672.3255813953485</v>
      </c>
      <c r="G17" s="98">
        <f t="shared" si="1"/>
        <v>10678.597021333828</v>
      </c>
      <c r="H17" s="106">
        <f t="shared" si="20"/>
        <v>146712.92170979996</v>
      </c>
      <c r="I17" s="106">
        <f t="shared" si="14"/>
        <v>10269.904519685999</v>
      </c>
      <c r="J17" s="106">
        <f t="shared" si="15"/>
        <v>1818.0560069806816</v>
      </c>
      <c r="K17" s="100">
        <f t="shared" si="2"/>
        <v>15237.620868682156</v>
      </c>
      <c r="L17" s="101">
        <f t="shared" si="21"/>
        <v>138538.62984933483</v>
      </c>
      <c r="M17" s="101">
        <f t="shared" si="16"/>
        <v>9697.704089453438</v>
      </c>
      <c r="N17" s="101">
        <f t="shared" si="17"/>
        <v>2390.256437213242</v>
      </c>
      <c r="O17" s="101">
        <f t="shared" si="18"/>
        <v>2090.4069767441856</v>
      </c>
      <c r="P17" s="101">
        <f t="shared" si="19"/>
        <v>368.89534883720927</v>
      </c>
      <c r="Q17" s="102">
        <f t="shared" si="3"/>
        <v>0</v>
      </c>
      <c r="R17" s="102">
        <f t="shared" si="4"/>
        <v>0</v>
      </c>
      <c r="S17" s="103">
        <f t="shared" si="5"/>
        <v>0</v>
      </c>
      <c r="T17" s="103">
        <f t="shared" si="6"/>
        <v>0</v>
      </c>
      <c r="U17" s="104">
        <f t="shared" si="7"/>
        <v>15237.620868682156</v>
      </c>
      <c r="V17" s="104">
        <f t="shared" si="8"/>
        <v>0</v>
      </c>
      <c r="W17" s="105">
        <f t="shared" si="9"/>
        <v>0</v>
      </c>
    </row>
    <row r="18" spans="1:23" ht="12.75">
      <c r="A18" s="97">
        <f t="shared" si="10"/>
        <v>27</v>
      </c>
      <c r="B18" s="98">
        <f t="shared" si="11"/>
        <v>27790.697674418603</v>
      </c>
      <c r="C18" s="98"/>
      <c r="D18" s="98">
        <f t="shared" si="12"/>
        <v>2501.162790697674</v>
      </c>
      <c r="E18" s="98">
        <f t="shared" si="13"/>
        <v>2125.988372093023</v>
      </c>
      <c r="F18" s="98">
        <f t="shared" si="0"/>
        <v>1700.7906976744184</v>
      </c>
      <c r="G18" s="98">
        <f t="shared" si="1"/>
        <v>10343.200357036618</v>
      </c>
      <c r="H18" s="106">
        <f t="shared" si="20"/>
        <v>144894.86570281928</v>
      </c>
      <c r="I18" s="106">
        <f t="shared" si="14"/>
        <v>10142.640599197352</v>
      </c>
      <c r="J18" s="106">
        <f t="shared" si="15"/>
        <v>1945.3199274693288</v>
      </c>
      <c r="K18" s="100">
        <f t="shared" si="2"/>
        <v>15702.737147751923</v>
      </c>
      <c r="L18" s="101">
        <f t="shared" si="21"/>
        <v>134057.9664353774</v>
      </c>
      <c r="M18" s="101">
        <f t="shared" si="16"/>
        <v>9384.05765047642</v>
      </c>
      <c r="N18" s="101">
        <f t="shared" si="17"/>
        <v>2703.902876190261</v>
      </c>
      <c r="O18" s="101">
        <f t="shared" si="18"/>
        <v>2125.988372093023</v>
      </c>
      <c r="P18" s="101">
        <f t="shared" si="19"/>
        <v>375.1744186046511</v>
      </c>
      <c r="Q18" s="102">
        <f t="shared" si="3"/>
        <v>0</v>
      </c>
      <c r="R18" s="102">
        <f t="shared" si="4"/>
        <v>0</v>
      </c>
      <c r="S18" s="103">
        <f t="shared" si="5"/>
        <v>0</v>
      </c>
      <c r="T18" s="103">
        <f t="shared" si="6"/>
        <v>0</v>
      </c>
      <c r="U18" s="104">
        <f t="shared" si="7"/>
        <v>15702.737147751923</v>
      </c>
      <c r="V18" s="104">
        <f t="shared" si="8"/>
        <v>0</v>
      </c>
      <c r="W18" s="105">
        <f t="shared" si="9"/>
        <v>0</v>
      </c>
    </row>
    <row r="19" spans="1:23" ht="12.75">
      <c r="A19" s="97">
        <f t="shared" si="10"/>
        <v>28</v>
      </c>
      <c r="B19" s="98">
        <f t="shared" si="11"/>
        <v>28255.81395348837</v>
      </c>
      <c r="C19" s="98"/>
      <c r="D19" s="98">
        <f t="shared" si="12"/>
        <v>2543.0232558139533</v>
      </c>
      <c r="E19" s="98">
        <f t="shared" si="13"/>
        <v>2161.56976744186</v>
      </c>
      <c r="F19" s="98">
        <f t="shared" si="0"/>
        <v>1729.2558139534883</v>
      </c>
      <c r="G19" s="98">
        <f t="shared" si="1"/>
        <v>10015.531726478972</v>
      </c>
      <c r="H19" s="106">
        <f t="shared" si="20"/>
        <v>142949.54577534995</v>
      </c>
      <c r="I19" s="106">
        <f t="shared" si="14"/>
        <v>10006.468204274497</v>
      </c>
      <c r="J19" s="106">
        <f t="shared" si="15"/>
        <v>2081.4923223921833</v>
      </c>
      <c r="K19" s="100">
        <f t="shared" si="2"/>
        <v>16167.85342682169</v>
      </c>
      <c r="L19" s="101">
        <f t="shared" si="21"/>
        <v>129228.07518709412</v>
      </c>
      <c r="M19" s="101">
        <f t="shared" si="16"/>
        <v>9045.965263096588</v>
      </c>
      <c r="N19" s="101">
        <f t="shared" si="17"/>
        <v>3041.995263570092</v>
      </c>
      <c r="O19" s="101">
        <f t="shared" si="18"/>
        <v>2161.56976744186</v>
      </c>
      <c r="P19" s="101">
        <f t="shared" si="19"/>
        <v>381.453488372093</v>
      </c>
      <c r="Q19" s="102">
        <f t="shared" si="3"/>
        <v>0</v>
      </c>
      <c r="R19" s="102">
        <f t="shared" si="4"/>
        <v>0</v>
      </c>
      <c r="S19" s="103">
        <f t="shared" si="5"/>
        <v>0</v>
      </c>
      <c r="T19" s="103">
        <f t="shared" si="6"/>
        <v>0</v>
      </c>
      <c r="U19" s="104">
        <f t="shared" si="7"/>
        <v>16167.85342682169</v>
      </c>
      <c r="V19" s="104">
        <f t="shared" si="8"/>
        <v>0</v>
      </c>
      <c r="W19" s="105">
        <f t="shared" si="9"/>
        <v>0</v>
      </c>
    </row>
    <row r="20" spans="1:23" ht="12.75">
      <c r="A20" s="97">
        <f t="shared" si="10"/>
        <v>29</v>
      </c>
      <c r="B20" s="98">
        <f t="shared" si="11"/>
        <v>28720.930232558138</v>
      </c>
      <c r="C20" s="98"/>
      <c r="D20" s="98">
        <f t="shared" si="12"/>
        <v>2584.8837209302324</v>
      </c>
      <c r="E20" s="98">
        <f t="shared" si="13"/>
        <v>2197.1511627906975</v>
      </c>
      <c r="F20" s="98">
        <f t="shared" si="0"/>
        <v>1757.7209302325582</v>
      </c>
      <c r="G20" s="98">
        <f t="shared" si="1"/>
        <v>9695.615663101338</v>
      </c>
      <c r="H20" s="106">
        <f t="shared" si="20"/>
        <v>140868.05345295777</v>
      </c>
      <c r="I20" s="106">
        <f t="shared" si="14"/>
        <v>9860.763741707045</v>
      </c>
      <c r="J20" s="106">
        <f t="shared" si="15"/>
        <v>2227.196784959635</v>
      </c>
      <c r="K20" s="100">
        <f t="shared" si="2"/>
        <v>16632.969705891457</v>
      </c>
      <c r="L20" s="101">
        <f t="shared" si="21"/>
        <v>124024.51015608216</v>
      </c>
      <c r="M20" s="101">
        <f t="shared" si="16"/>
        <v>8681.715710925751</v>
      </c>
      <c r="N20" s="101">
        <f t="shared" si="17"/>
        <v>3406.244815740929</v>
      </c>
      <c r="O20" s="101">
        <f t="shared" si="18"/>
        <v>2197.1511627906975</v>
      </c>
      <c r="P20" s="101">
        <f t="shared" si="19"/>
        <v>387.7325581395349</v>
      </c>
      <c r="Q20" s="102">
        <f t="shared" si="3"/>
        <v>0</v>
      </c>
      <c r="R20" s="102">
        <f t="shared" si="4"/>
        <v>0</v>
      </c>
      <c r="S20" s="103">
        <f t="shared" si="5"/>
        <v>0</v>
      </c>
      <c r="T20" s="103">
        <f t="shared" si="6"/>
        <v>0</v>
      </c>
      <c r="U20" s="104">
        <f t="shared" si="7"/>
        <v>16632.969705891457</v>
      </c>
      <c r="V20" s="104">
        <f t="shared" si="8"/>
        <v>0</v>
      </c>
      <c r="W20" s="105">
        <f t="shared" si="9"/>
        <v>0</v>
      </c>
    </row>
    <row r="21" spans="1:23" ht="12.75">
      <c r="A21" s="97">
        <f t="shared" si="10"/>
        <v>30</v>
      </c>
      <c r="B21" s="98">
        <f t="shared" si="11"/>
        <v>29186.046511627905</v>
      </c>
      <c r="C21" s="98"/>
      <c r="D21" s="98">
        <f t="shared" si="12"/>
        <v>2626.7441860465115</v>
      </c>
      <c r="E21" s="98">
        <f t="shared" si="13"/>
        <v>2232.732558139535</v>
      </c>
      <c r="F21" s="98">
        <f t="shared" si="0"/>
        <v>1786.1860465116279</v>
      </c>
      <c r="G21" s="98">
        <f t="shared" si="1"/>
        <v>9383.456839939987</v>
      </c>
      <c r="H21" s="106">
        <f t="shared" si="20"/>
        <v>138640.85666799813</v>
      </c>
      <c r="I21" s="106">
        <f t="shared" si="14"/>
        <v>9704.85996675987</v>
      </c>
      <c r="J21" s="106">
        <f t="shared" si="15"/>
        <v>2383.1005599068103</v>
      </c>
      <c r="K21" s="100">
        <f t="shared" si="2"/>
        <v>17098.085984961224</v>
      </c>
      <c r="L21" s="101">
        <f t="shared" si="21"/>
        <v>118421.11417755054</v>
      </c>
      <c r="M21" s="101">
        <f t="shared" si="16"/>
        <v>8289.477992428538</v>
      </c>
      <c r="N21" s="101">
        <f t="shared" si="17"/>
        <v>3798.4825342381428</v>
      </c>
      <c r="O21" s="101">
        <f t="shared" si="18"/>
        <v>2232.732558139535</v>
      </c>
      <c r="P21" s="101">
        <f t="shared" si="19"/>
        <v>394.01162790697674</v>
      </c>
      <c r="Q21" s="102">
        <f t="shared" si="3"/>
        <v>0</v>
      </c>
      <c r="R21" s="102">
        <f t="shared" si="4"/>
        <v>0</v>
      </c>
      <c r="S21" s="103">
        <f t="shared" si="5"/>
        <v>0</v>
      </c>
      <c r="T21" s="103">
        <f t="shared" si="6"/>
        <v>0</v>
      </c>
      <c r="U21" s="104">
        <f t="shared" si="7"/>
        <v>17098.085984961224</v>
      </c>
      <c r="V21" s="104">
        <f t="shared" si="8"/>
        <v>0</v>
      </c>
      <c r="W21" s="105">
        <f t="shared" si="9"/>
        <v>0</v>
      </c>
    </row>
    <row r="22" spans="1:23" ht="12.75">
      <c r="A22" s="97">
        <f t="shared" si="10"/>
        <v>31</v>
      </c>
      <c r="B22" s="98">
        <f t="shared" si="11"/>
        <v>29651.162790697672</v>
      </c>
      <c r="C22" s="98">
        <v>25000</v>
      </c>
      <c r="D22" s="98">
        <f t="shared" si="12"/>
        <v>4918.60465116279</v>
      </c>
      <c r="E22" s="98">
        <f t="shared" si="13"/>
        <v>4180.813953488371</v>
      </c>
      <c r="F22" s="98">
        <f t="shared" si="0"/>
        <v>3344.651162790697</v>
      </c>
      <c r="G22" s="98">
        <f t="shared" si="1"/>
        <v>16733.9203747744</v>
      </c>
      <c r="H22" s="106">
        <f t="shared" si="20"/>
        <v>136257.75610809133</v>
      </c>
      <c r="I22" s="106">
        <f t="shared" si="14"/>
        <v>9538.042927566394</v>
      </c>
      <c r="J22" s="106">
        <f t="shared" si="15"/>
        <v>2549.9175991002867</v>
      </c>
      <c r="K22" s="100">
        <f t="shared" si="2"/>
        <v>42563.20226403099</v>
      </c>
      <c r="L22" s="101">
        <f t="shared" si="21"/>
        <v>112389.89908517286</v>
      </c>
      <c r="M22" s="101">
        <f t="shared" si="16"/>
        <v>7867.292935962101</v>
      </c>
      <c r="N22" s="101">
        <f t="shared" si="17"/>
        <v>4220.667590704579</v>
      </c>
      <c r="O22" s="101">
        <f t="shared" si="18"/>
        <v>4180.813953488371</v>
      </c>
      <c r="P22" s="101">
        <f t="shared" si="19"/>
        <v>737.7906976744185</v>
      </c>
      <c r="Q22" s="102">
        <f t="shared" si="3"/>
        <v>0</v>
      </c>
      <c r="R22" s="102">
        <f t="shared" si="4"/>
        <v>0</v>
      </c>
      <c r="S22" s="103">
        <f t="shared" si="5"/>
        <v>0</v>
      </c>
      <c r="T22" s="103">
        <f t="shared" si="6"/>
        <v>0</v>
      </c>
      <c r="U22" s="104">
        <f t="shared" si="7"/>
        <v>42563.20226403099</v>
      </c>
      <c r="V22" s="104">
        <f t="shared" si="8"/>
        <v>0</v>
      </c>
      <c r="W22" s="105">
        <f t="shared" si="9"/>
        <v>0</v>
      </c>
    </row>
    <row r="23" spans="1:23" ht="12.75">
      <c r="A23" s="97">
        <f t="shared" si="10"/>
        <v>32</v>
      </c>
      <c r="B23" s="98">
        <f t="shared" si="11"/>
        <v>30116.27906976744</v>
      </c>
      <c r="C23" s="98">
        <f aca="true" t="shared" si="22" ref="C23:C54">C22+(C$55-C$22)/33</f>
        <v>25151.515151515152</v>
      </c>
      <c r="D23" s="98">
        <f t="shared" si="12"/>
        <v>4974.101479915433</v>
      </c>
      <c r="E23" s="98">
        <f t="shared" si="13"/>
        <v>4227.986257928118</v>
      </c>
      <c r="F23" s="98">
        <f t="shared" si="0"/>
        <v>3382.3890063424947</v>
      </c>
      <c r="G23" s="98">
        <f t="shared" si="1"/>
        <v>16116.885639270302</v>
      </c>
      <c r="H23" s="106">
        <f t="shared" si="20"/>
        <v>133707.83850899103</v>
      </c>
      <c r="I23" s="106">
        <f t="shared" si="14"/>
        <v>9359.548695629373</v>
      </c>
      <c r="J23" s="106">
        <f t="shared" si="15"/>
        <v>2728.411831037307</v>
      </c>
      <c r="K23" s="100">
        <f t="shared" si="2"/>
        <v>43179.83369461591</v>
      </c>
      <c r="L23" s="101">
        <f t="shared" si="21"/>
        <v>103988.41754097992</v>
      </c>
      <c r="M23" s="101">
        <f t="shared" si="16"/>
        <v>7279.1892278685955</v>
      </c>
      <c r="N23" s="101">
        <f t="shared" si="17"/>
        <v>4808.771298798085</v>
      </c>
      <c r="O23" s="101">
        <f t="shared" si="18"/>
        <v>4227.986257928118</v>
      </c>
      <c r="P23" s="101">
        <f t="shared" si="19"/>
        <v>746.115221987315</v>
      </c>
      <c r="Q23" s="102">
        <f t="shared" si="3"/>
        <v>0</v>
      </c>
      <c r="R23" s="102">
        <f t="shared" si="4"/>
        <v>0</v>
      </c>
      <c r="S23" s="103">
        <f t="shared" si="5"/>
        <v>0</v>
      </c>
      <c r="T23" s="103">
        <f t="shared" si="6"/>
        <v>0</v>
      </c>
      <c r="U23" s="104">
        <f t="shared" si="7"/>
        <v>43179.83369461591</v>
      </c>
      <c r="V23" s="104">
        <f t="shared" si="8"/>
        <v>0</v>
      </c>
      <c r="W23" s="105">
        <f t="shared" si="9"/>
        <v>0</v>
      </c>
    </row>
    <row r="24" spans="1:23" ht="12.75">
      <c r="A24" s="97">
        <f t="shared" si="10"/>
        <v>33</v>
      </c>
      <c r="B24" s="98">
        <f t="shared" si="11"/>
        <v>30581.395348837206</v>
      </c>
      <c r="C24" s="98">
        <f t="shared" si="22"/>
        <v>25303.030303030304</v>
      </c>
      <c r="D24" s="98">
        <f t="shared" si="12"/>
        <v>5029.598308668075</v>
      </c>
      <c r="E24" s="98">
        <f t="shared" si="13"/>
        <v>4275.158562367864</v>
      </c>
      <c r="F24" s="98">
        <f t="shared" si="0"/>
        <v>3420.1268498942914</v>
      </c>
      <c r="G24" s="98">
        <f t="shared" si="1"/>
        <v>15520.670718996127</v>
      </c>
      <c r="H24" s="106">
        <f t="shared" si="20"/>
        <v>130979.42667795373</v>
      </c>
      <c r="I24" s="106">
        <f t="shared" si="14"/>
        <v>9168.559867456763</v>
      </c>
      <c r="J24" s="106">
        <f t="shared" si="15"/>
        <v>2919.4006592099176</v>
      </c>
      <c r="K24" s="100">
        <f t="shared" si="2"/>
        <v>43796.46512520083</v>
      </c>
      <c r="L24" s="101">
        <f t="shared" si="21"/>
        <v>94951.65998425371</v>
      </c>
      <c r="M24" s="101">
        <f t="shared" si="16"/>
        <v>6646.61619889776</v>
      </c>
      <c r="N24" s="101">
        <f t="shared" si="17"/>
        <v>5441.34432776892</v>
      </c>
      <c r="O24" s="101">
        <f t="shared" si="18"/>
        <v>4275.158562367864</v>
      </c>
      <c r="P24" s="101">
        <f t="shared" si="19"/>
        <v>754.4397463002114</v>
      </c>
      <c r="Q24" s="102">
        <f t="shared" si="3"/>
        <v>0</v>
      </c>
      <c r="R24" s="102">
        <f t="shared" si="4"/>
        <v>0</v>
      </c>
      <c r="S24" s="103">
        <f t="shared" si="5"/>
        <v>0</v>
      </c>
      <c r="T24" s="103">
        <f t="shared" si="6"/>
        <v>0</v>
      </c>
      <c r="U24" s="104">
        <f t="shared" si="7"/>
        <v>43796.46512520083</v>
      </c>
      <c r="V24" s="104">
        <f t="shared" si="8"/>
        <v>0</v>
      </c>
      <c r="W24" s="105">
        <f t="shared" si="9"/>
        <v>0</v>
      </c>
    </row>
    <row r="25" spans="1:23" ht="12.75">
      <c r="A25" s="97">
        <f t="shared" si="10"/>
        <v>34</v>
      </c>
      <c r="B25" s="98">
        <f t="shared" si="11"/>
        <v>31046.511627906973</v>
      </c>
      <c r="C25" s="98">
        <f t="shared" si="22"/>
        <v>25454.545454545456</v>
      </c>
      <c r="D25" s="98">
        <f t="shared" si="12"/>
        <v>5085.095137420719</v>
      </c>
      <c r="E25" s="98">
        <f t="shared" si="13"/>
        <v>4322.330866807611</v>
      </c>
      <c r="F25" s="98">
        <f t="shared" si="0"/>
        <v>3457.8646934460885</v>
      </c>
      <c r="G25" s="98">
        <f t="shared" si="1"/>
        <v>14944.691946142006</v>
      </c>
      <c r="H25" s="106">
        <f t="shared" si="20"/>
        <v>128060.02601874381</v>
      </c>
      <c r="I25" s="106">
        <f t="shared" si="14"/>
        <v>8964.201821312068</v>
      </c>
      <c r="J25" s="106">
        <f t="shared" si="15"/>
        <v>3123.758705354612</v>
      </c>
      <c r="K25" s="100">
        <f t="shared" si="2"/>
        <v>44413.096555785756</v>
      </c>
      <c r="L25" s="101">
        <f t="shared" si="21"/>
        <v>85235.15709411692</v>
      </c>
      <c r="M25" s="101">
        <f t="shared" si="16"/>
        <v>5966.460996588185</v>
      </c>
      <c r="N25" s="101">
        <f t="shared" si="17"/>
        <v>6121.499530078496</v>
      </c>
      <c r="O25" s="101">
        <f t="shared" si="18"/>
        <v>4322.330866807611</v>
      </c>
      <c r="P25" s="101">
        <f t="shared" si="19"/>
        <v>762.7642706131078</v>
      </c>
      <c r="Q25" s="102">
        <f t="shared" si="3"/>
        <v>0</v>
      </c>
      <c r="R25" s="102">
        <f t="shared" si="4"/>
        <v>0</v>
      </c>
      <c r="S25" s="103">
        <f t="shared" si="5"/>
        <v>0</v>
      </c>
      <c r="T25" s="103">
        <f t="shared" si="6"/>
        <v>0</v>
      </c>
      <c r="U25" s="104">
        <f t="shared" si="7"/>
        <v>44413.096555785756</v>
      </c>
      <c r="V25" s="104">
        <f t="shared" si="8"/>
        <v>0</v>
      </c>
      <c r="W25" s="105">
        <f t="shared" si="9"/>
        <v>0</v>
      </c>
    </row>
    <row r="26" spans="1:23" ht="12.75">
      <c r="A26" s="97">
        <f t="shared" si="10"/>
        <v>35</v>
      </c>
      <c r="B26" s="98">
        <f t="shared" si="11"/>
        <v>31511.62790697674</v>
      </c>
      <c r="C26" s="98">
        <f t="shared" si="22"/>
        <v>25606.060606060608</v>
      </c>
      <c r="D26" s="98">
        <f t="shared" si="12"/>
        <v>5140.5919661733615</v>
      </c>
      <c r="E26" s="98">
        <f t="shared" si="13"/>
        <v>4369.503171247357</v>
      </c>
      <c r="F26" s="98">
        <f t="shared" si="0"/>
        <v>3495.602536997886</v>
      </c>
      <c r="G26" s="98">
        <f t="shared" si="1"/>
        <v>14388.374029843173</v>
      </c>
      <c r="H26" s="106">
        <f t="shared" si="20"/>
        <v>124936.2673133892</v>
      </c>
      <c r="I26" s="106">
        <f t="shared" si="14"/>
        <v>8745.538711937244</v>
      </c>
      <c r="J26" s="106">
        <f t="shared" si="15"/>
        <v>3342.421814729436</v>
      </c>
      <c r="K26" s="100">
        <f t="shared" si="2"/>
        <v>45029.727986370664</v>
      </c>
      <c r="L26" s="101">
        <f t="shared" si="21"/>
        <v>74791.32669723082</v>
      </c>
      <c r="M26" s="101">
        <f t="shared" si="16"/>
        <v>5235.392868806158</v>
      </c>
      <c r="N26" s="101">
        <f t="shared" si="17"/>
        <v>6852.567657860523</v>
      </c>
      <c r="O26" s="101">
        <f t="shared" si="18"/>
        <v>4369.503171247357</v>
      </c>
      <c r="P26" s="101">
        <f t="shared" si="19"/>
        <v>771.0887949260043</v>
      </c>
      <c r="Q26" s="102">
        <f t="shared" si="3"/>
        <v>0</v>
      </c>
      <c r="R26" s="102">
        <f t="shared" si="4"/>
        <v>0</v>
      </c>
      <c r="S26" s="103">
        <f t="shared" si="5"/>
        <v>0</v>
      </c>
      <c r="T26" s="103">
        <f t="shared" si="6"/>
        <v>0</v>
      </c>
      <c r="U26" s="104">
        <f t="shared" si="7"/>
        <v>45029.727986370664</v>
      </c>
      <c r="V26" s="104">
        <f t="shared" si="8"/>
        <v>0</v>
      </c>
      <c r="W26" s="105">
        <f t="shared" si="9"/>
        <v>0</v>
      </c>
    </row>
    <row r="27" spans="1:23" ht="12.75">
      <c r="A27" s="97">
        <f t="shared" si="10"/>
        <v>36</v>
      </c>
      <c r="B27" s="98">
        <f t="shared" si="11"/>
        <v>31976.744186046508</v>
      </c>
      <c r="C27" s="98">
        <f t="shared" si="22"/>
        <v>25757.57575757576</v>
      </c>
      <c r="D27" s="98">
        <f t="shared" si="12"/>
        <v>5196.088794926003</v>
      </c>
      <c r="E27" s="98">
        <f t="shared" si="13"/>
        <v>4416.675475687102</v>
      </c>
      <c r="F27" s="98">
        <f t="shared" si="0"/>
        <v>3533.340380549682</v>
      </c>
      <c r="G27" s="98">
        <f t="shared" si="1"/>
        <v>13851.150581885388</v>
      </c>
      <c r="H27" s="106">
        <f t="shared" si="20"/>
        <v>121593.84549865976</v>
      </c>
      <c r="I27" s="106">
        <f t="shared" si="14"/>
        <v>8511.569184906184</v>
      </c>
      <c r="J27" s="106">
        <f t="shared" si="15"/>
        <v>3576.3913417604963</v>
      </c>
      <c r="K27" s="100">
        <f t="shared" si="2"/>
        <v>45646.35941695559</v>
      </c>
      <c r="L27" s="101">
        <f t="shared" si="21"/>
        <v>63569.25586812294</v>
      </c>
      <c r="M27" s="101">
        <f t="shared" si="16"/>
        <v>4449.847910768606</v>
      </c>
      <c r="N27" s="101">
        <f t="shared" si="17"/>
        <v>7638.112615898074</v>
      </c>
      <c r="O27" s="101">
        <f t="shared" si="18"/>
        <v>4416.675475687102</v>
      </c>
      <c r="P27" s="101">
        <f t="shared" si="19"/>
        <v>779.4133192389005</v>
      </c>
      <c r="Q27" s="102">
        <f t="shared" si="3"/>
        <v>0</v>
      </c>
      <c r="R27" s="102">
        <f t="shared" si="4"/>
        <v>0</v>
      </c>
      <c r="S27" s="103">
        <f t="shared" si="5"/>
        <v>0</v>
      </c>
      <c r="T27" s="103">
        <f t="shared" si="6"/>
        <v>0</v>
      </c>
      <c r="U27" s="104">
        <f t="shared" si="7"/>
        <v>45646.35941695559</v>
      </c>
      <c r="V27" s="104">
        <f t="shared" si="8"/>
        <v>0</v>
      </c>
      <c r="W27" s="105">
        <f t="shared" si="9"/>
        <v>0</v>
      </c>
    </row>
    <row r="28" spans="1:23" ht="12.75">
      <c r="A28" s="97">
        <f t="shared" si="10"/>
        <v>37</v>
      </c>
      <c r="B28" s="98">
        <f t="shared" si="11"/>
        <v>32441.860465116275</v>
      </c>
      <c r="C28" s="98">
        <f t="shared" si="22"/>
        <v>25909.09090909091</v>
      </c>
      <c r="D28" s="98">
        <f t="shared" si="12"/>
        <v>5251.585623678647</v>
      </c>
      <c r="E28" s="98">
        <f t="shared" si="13"/>
        <v>4463.84778012685</v>
      </c>
      <c r="F28" s="98">
        <f t="shared" si="0"/>
        <v>3571.0782241014804</v>
      </c>
      <c r="G28" s="98">
        <f t="shared" si="1"/>
        <v>13332.46457334799</v>
      </c>
      <c r="H28" s="106">
        <f t="shared" si="20"/>
        <v>118017.45415689927</v>
      </c>
      <c r="I28" s="106">
        <f t="shared" si="14"/>
        <v>8261.22179098295</v>
      </c>
      <c r="J28" s="106">
        <f t="shared" si="15"/>
        <v>3826.73873568373</v>
      </c>
      <c r="K28" s="100">
        <f t="shared" si="2"/>
        <v>46262.99084754051</v>
      </c>
      <c r="L28" s="101">
        <f t="shared" si="21"/>
        <v>51514.467776537764</v>
      </c>
      <c r="M28" s="101">
        <f t="shared" si="16"/>
        <v>3606.012744357644</v>
      </c>
      <c r="N28" s="101">
        <f t="shared" si="17"/>
        <v>8481.947782309036</v>
      </c>
      <c r="O28" s="101">
        <f t="shared" si="18"/>
        <v>4463.84778012685</v>
      </c>
      <c r="P28" s="101">
        <f t="shared" si="19"/>
        <v>787.7378435517971</v>
      </c>
      <c r="Q28" s="102">
        <f t="shared" si="3"/>
        <v>0</v>
      </c>
      <c r="R28" s="102">
        <f t="shared" si="4"/>
        <v>0</v>
      </c>
      <c r="S28" s="103">
        <f t="shared" si="5"/>
        <v>0</v>
      </c>
      <c r="T28" s="103">
        <f t="shared" si="6"/>
        <v>0</v>
      </c>
      <c r="U28" s="104">
        <f t="shared" si="7"/>
        <v>46262.99084754051</v>
      </c>
      <c r="V28" s="104">
        <f t="shared" si="8"/>
        <v>0</v>
      </c>
      <c r="W28" s="105">
        <f t="shared" si="9"/>
        <v>0</v>
      </c>
    </row>
    <row r="29" spans="1:23" ht="12.75">
      <c r="A29" s="97">
        <f t="shared" si="10"/>
        <v>38</v>
      </c>
      <c r="B29" s="98">
        <f t="shared" si="11"/>
        <v>32906.976744186046</v>
      </c>
      <c r="C29" s="98">
        <f t="shared" si="22"/>
        <v>26060.606060606064</v>
      </c>
      <c r="D29" s="98">
        <f t="shared" si="12"/>
        <v>5307.082452431289</v>
      </c>
      <c r="E29" s="98">
        <f t="shared" si="13"/>
        <v>4511.020084566596</v>
      </c>
      <c r="F29" s="98">
        <f t="shared" si="0"/>
        <v>3608.816067653277</v>
      </c>
      <c r="G29" s="98">
        <f t="shared" si="1"/>
        <v>12831.768727569506</v>
      </c>
      <c r="H29" s="106">
        <f t="shared" si="20"/>
        <v>114190.71542121554</v>
      </c>
      <c r="I29" s="106">
        <f t="shared" si="14"/>
        <v>7993.350079485089</v>
      </c>
      <c r="J29" s="106">
        <f t="shared" si="15"/>
        <v>4094.6104471815916</v>
      </c>
      <c r="K29" s="100">
        <f t="shared" si="2"/>
        <v>46879.62227812543</v>
      </c>
      <c r="L29" s="101">
        <f t="shared" si="21"/>
        <v>38568.672214101876</v>
      </c>
      <c r="M29" s="101">
        <f t="shared" si="16"/>
        <v>2699.807054987132</v>
      </c>
      <c r="N29" s="101">
        <f t="shared" si="17"/>
        <v>9388.153471679549</v>
      </c>
      <c r="O29" s="101">
        <f t="shared" si="18"/>
        <v>4511.020084566596</v>
      </c>
      <c r="P29" s="101">
        <f t="shared" si="19"/>
        <v>796.0623678646934</v>
      </c>
      <c r="Q29" s="102">
        <f t="shared" si="3"/>
        <v>0</v>
      </c>
      <c r="R29" s="102">
        <f t="shared" si="4"/>
        <v>0</v>
      </c>
      <c r="S29" s="103">
        <f t="shared" si="5"/>
        <v>0</v>
      </c>
      <c r="T29" s="103">
        <f t="shared" si="6"/>
        <v>0</v>
      </c>
      <c r="U29" s="104">
        <f t="shared" si="7"/>
        <v>46879.62227812543</v>
      </c>
      <c r="V29" s="104">
        <f t="shared" si="8"/>
        <v>0</v>
      </c>
      <c r="W29" s="105">
        <f t="shared" si="9"/>
        <v>0</v>
      </c>
    </row>
    <row r="30" spans="1:23" ht="12.75">
      <c r="A30" s="97">
        <f t="shared" si="10"/>
        <v>39</v>
      </c>
      <c r="B30" s="98">
        <f t="shared" si="11"/>
        <v>33372.09302325582</v>
      </c>
      <c r="C30" s="98">
        <f t="shared" si="22"/>
        <v>26212.121212121216</v>
      </c>
      <c r="D30" s="98">
        <f t="shared" si="12"/>
        <v>5362.579281183933</v>
      </c>
      <c r="E30" s="98">
        <f t="shared" si="13"/>
        <v>4558.192389006343</v>
      </c>
      <c r="F30" s="98">
        <f t="shared" si="0"/>
        <v>3646.553911205074</v>
      </c>
      <c r="G30" s="98">
        <f t="shared" si="1"/>
        <v>12348.525854465282</v>
      </c>
      <c r="H30" s="106">
        <f t="shared" si="20"/>
        <v>110096.10497403395</v>
      </c>
      <c r="I30" s="106">
        <f t="shared" si="14"/>
        <v>7706.727348182378</v>
      </c>
      <c r="J30" s="106">
        <f t="shared" si="15"/>
        <v>4381.233178484303</v>
      </c>
      <c r="K30" s="100">
        <f t="shared" si="2"/>
        <v>47496.253708710356</v>
      </c>
      <c r="L30" s="101">
        <f t="shared" si="21"/>
        <v>24669.49865785573</v>
      </c>
      <c r="M30" s="101">
        <f t="shared" si="16"/>
        <v>1726.8649060499013</v>
      </c>
      <c r="N30" s="101">
        <f t="shared" si="17"/>
        <v>10361.09562061678</v>
      </c>
      <c r="O30" s="101">
        <f t="shared" si="18"/>
        <v>4558.192389006343</v>
      </c>
      <c r="P30" s="101">
        <f t="shared" si="19"/>
        <v>804.38689217759</v>
      </c>
      <c r="Q30" s="102">
        <f t="shared" si="3"/>
        <v>0</v>
      </c>
      <c r="R30" s="102">
        <f t="shared" si="4"/>
        <v>0</v>
      </c>
      <c r="S30" s="103">
        <f t="shared" si="5"/>
        <v>0</v>
      </c>
      <c r="T30" s="103">
        <f t="shared" si="6"/>
        <v>0</v>
      </c>
      <c r="U30" s="104">
        <f t="shared" si="7"/>
        <v>47496.253708710356</v>
      </c>
      <c r="V30" s="104">
        <f t="shared" si="8"/>
        <v>0</v>
      </c>
      <c r="W30" s="105">
        <f t="shared" si="9"/>
        <v>0</v>
      </c>
    </row>
    <row r="31" spans="1:23" ht="12.75">
      <c r="A31" s="97">
        <f t="shared" si="10"/>
        <v>40</v>
      </c>
      <c r="B31" s="98">
        <f t="shared" si="11"/>
        <v>33837.20930232559</v>
      </c>
      <c r="C31" s="98">
        <f t="shared" si="22"/>
        <v>26363.636363636368</v>
      </c>
      <c r="D31" s="98">
        <f t="shared" si="12"/>
        <v>5418.076109936575</v>
      </c>
      <c r="E31" s="98">
        <f t="shared" si="13"/>
        <v>4605.364693446089</v>
      </c>
      <c r="F31" s="98">
        <f t="shared" si="0"/>
        <v>3684.291754756872</v>
      </c>
      <c r="G31" s="98">
        <f t="shared" si="1"/>
        <v>11882.209130891239</v>
      </c>
      <c r="H31" s="106">
        <f t="shared" si="20"/>
        <v>105714.87179554965</v>
      </c>
      <c r="I31" s="106">
        <f t="shared" si="14"/>
        <v>7400.041025688476</v>
      </c>
      <c r="J31" s="106">
        <f t="shared" si="15"/>
        <v>4687.919500978204</v>
      </c>
      <c r="K31" s="100">
        <f t="shared" si="2"/>
        <v>48112.88513929528</v>
      </c>
      <c r="L31" s="101">
        <f t="shared" si="21"/>
        <v>9750.210648232607</v>
      </c>
      <c r="M31" s="101">
        <f t="shared" si="16"/>
        <v>682.5147453762826</v>
      </c>
      <c r="N31" s="101">
        <f t="shared" si="17"/>
        <v>9067.695902856325</v>
      </c>
      <c r="O31" s="101">
        <f t="shared" si="18"/>
        <v>682.514745376282</v>
      </c>
      <c r="P31" s="101">
        <f t="shared" si="19"/>
        <v>120.44377859581448</v>
      </c>
      <c r="Q31" s="102">
        <f t="shared" si="3"/>
        <v>4615.117585964479</v>
      </c>
      <c r="R31" s="102">
        <f t="shared" si="4"/>
        <v>3922.849948069807</v>
      </c>
      <c r="S31" s="103">
        <f t="shared" si="5"/>
        <v>3138.2799584558456</v>
      </c>
      <c r="T31" s="103">
        <f t="shared" si="6"/>
        <v>10121.266517373782</v>
      </c>
      <c r="U31" s="104">
        <f t="shared" si="7"/>
        <v>50450.63501772935</v>
      </c>
      <c r="V31" s="104">
        <f t="shared" si="8"/>
        <v>2337.7498784340714</v>
      </c>
      <c r="W31" s="105">
        <f t="shared" si="9"/>
        <v>7539.477001354435</v>
      </c>
    </row>
    <row r="32" spans="1:23" ht="12.75">
      <c r="A32" s="97">
        <f t="shared" si="10"/>
        <v>41</v>
      </c>
      <c r="B32" s="98">
        <f t="shared" si="11"/>
        <v>34302.32558139536</v>
      </c>
      <c r="C32" s="98">
        <f t="shared" si="22"/>
        <v>26515.15151515152</v>
      </c>
      <c r="D32" s="98">
        <f t="shared" si="12"/>
        <v>5473.572938689219</v>
      </c>
      <c r="E32" s="98">
        <f t="shared" si="13"/>
        <v>4652.536997885836</v>
      </c>
      <c r="F32" s="98">
        <f t="shared" si="0"/>
        <v>3722.029598308669</v>
      </c>
      <c r="G32" s="98">
        <f t="shared" si="1"/>
        <v>11432.302331434303</v>
      </c>
      <c r="H32" s="106">
        <f t="shared" si="20"/>
        <v>101026.95229457146</v>
      </c>
      <c r="I32" s="106">
        <f t="shared" si="14"/>
        <v>7071.886660620003</v>
      </c>
      <c r="J32" s="106">
        <f t="shared" si="15"/>
        <v>5016.073866046678</v>
      </c>
      <c r="K32" s="100">
        <f t="shared" si="2"/>
        <v>48729.5165698802</v>
      </c>
      <c r="L32" s="101">
        <f t="shared" si="21"/>
        <v>0</v>
      </c>
      <c r="M32" s="101">
        <f t="shared" si="16"/>
        <v>0</v>
      </c>
      <c r="N32" s="101">
        <f t="shared" si="17"/>
        <v>0</v>
      </c>
      <c r="O32" s="101">
        <f t="shared" si="18"/>
        <v>0</v>
      </c>
      <c r="P32" s="101">
        <f t="shared" si="19"/>
        <v>0</v>
      </c>
      <c r="Q32" s="102">
        <f t="shared" si="3"/>
        <v>5473.572938689219</v>
      </c>
      <c r="R32" s="102">
        <f t="shared" si="4"/>
        <v>4652.536997885836</v>
      </c>
      <c r="S32" s="103">
        <f t="shared" si="5"/>
        <v>3722.029598308669</v>
      </c>
      <c r="T32" s="103">
        <f t="shared" si="6"/>
        <v>11432.302331434303</v>
      </c>
      <c r="U32" s="104">
        <f t="shared" si="7"/>
        <v>60817.47709654688</v>
      </c>
      <c r="V32" s="104">
        <f t="shared" si="8"/>
        <v>12087.960526666677</v>
      </c>
      <c r="W32" s="105">
        <f t="shared" si="9"/>
        <v>37128.457918253465</v>
      </c>
    </row>
    <row r="33" spans="1:23" ht="12.75">
      <c r="A33" s="97">
        <f t="shared" si="10"/>
        <v>42</v>
      </c>
      <c r="B33" s="98">
        <f t="shared" si="11"/>
        <v>34767.44186046513</v>
      </c>
      <c r="C33" s="98">
        <f t="shared" si="22"/>
        <v>26666.66666666667</v>
      </c>
      <c r="D33" s="98">
        <f t="shared" si="12"/>
        <v>5529.069767441862</v>
      </c>
      <c r="E33" s="98">
        <f t="shared" si="13"/>
        <v>4699.709302325582</v>
      </c>
      <c r="F33" s="98">
        <f t="shared" si="0"/>
        <v>3759.7674418604656</v>
      </c>
      <c r="G33" s="98">
        <f t="shared" si="1"/>
        <v>10998.300013715003</v>
      </c>
      <c r="H33" s="106">
        <f t="shared" si="20"/>
        <v>96010.87842852478</v>
      </c>
      <c r="I33" s="106">
        <f t="shared" si="14"/>
        <v>6720.761489996736</v>
      </c>
      <c r="J33" s="106">
        <f t="shared" si="15"/>
        <v>5367.199036669945</v>
      </c>
      <c r="K33" s="100">
        <f t="shared" si="2"/>
        <v>49346.148000465124</v>
      </c>
      <c r="L33" s="101">
        <f t="shared" si="21"/>
        <v>0</v>
      </c>
      <c r="M33" s="101">
        <f t="shared" si="16"/>
        <v>0</v>
      </c>
      <c r="N33" s="101">
        <f t="shared" si="17"/>
        <v>0</v>
      </c>
      <c r="O33" s="101">
        <f t="shared" si="18"/>
        <v>0</v>
      </c>
      <c r="P33" s="101">
        <f t="shared" si="19"/>
        <v>0</v>
      </c>
      <c r="Q33" s="102">
        <f t="shared" si="3"/>
        <v>5529.069767441862</v>
      </c>
      <c r="R33" s="102">
        <f t="shared" si="4"/>
        <v>4699.709302325582</v>
      </c>
      <c r="S33" s="103">
        <f t="shared" si="5"/>
        <v>3759.7674418604656</v>
      </c>
      <c r="T33" s="103">
        <f t="shared" si="6"/>
        <v>10998.300013715003</v>
      </c>
      <c r="U33" s="104">
        <f t="shared" si="7"/>
        <v>61434.1085271318</v>
      </c>
      <c r="V33" s="104">
        <f t="shared" si="8"/>
        <v>12087.960526666677</v>
      </c>
      <c r="W33" s="105">
        <f t="shared" si="9"/>
        <v>35360.436112622345</v>
      </c>
    </row>
    <row r="34" spans="1:23" ht="12.75">
      <c r="A34" s="97">
        <f t="shared" si="10"/>
        <v>43</v>
      </c>
      <c r="B34" s="98">
        <f t="shared" si="11"/>
        <v>35232.5581395349</v>
      </c>
      <c r="C34" s="98">
        <f t="shared" si="22"/>
        <v>26818.181818181823</v>
      </c>
      <c r="D34" s="98">
        <f t="shared" si="12"/>
        <v>5584.566596194505</v>
      </c>
      <c r="E34" s="98">
        <f t="shared" si="13"/>
        <v>4746.881606765329</v>
      </c>
      <c r="F34" s="98">
        <f t="shared" si="0"/>
        <v>3797.505285412263</v>
      </c>
      <c r="G34" s="98">
        <f t="shared" si="1"/>
        <v>10579.707662011075</v>
      </c>
      <c r="H34" s="106">
        <f t="shared" si="20"/>
        <v>90643.67939185484</v>
      </c>
      <c r="I34" s="106">
        <f t="shared" si="14"/>
        <v>6345.057557429839</v>
      </c>
      <c r="J34" s="106">
        <f t="shared" si="15"/>
        <v>5742.902969236841</v>
      </c>
      <c r="K34" s="100">
        <f t="shared" si="2"/>
        <v>49962.77943105005</v>
      </c>
      <c r="L34" s="101">
        <f t="shared" si="21"/>
        <v>0</v>
      </c>
      <c r="M34" s="101">
        <f t="shared" si="16"/>
        <v>0</v>
      </c>
      <c r="N34" s="101">
        <f t="shared" si="17"/>
        <v>0</v>
      </c>
      <c r="O34" s="101">
        <f t="shared" si="18"/>
        <v>0</v>
      </c>
      <c r="P34" s="101">
        <f t="shared" si="19"/>
        <v>0</v>
      </c>
      <c r="Q34" s="102">
        <f t="shared" si="3"/>
        <v>5584.566596194505</v>
      </c>
      <c r="R34" s="102">
        <f t="shared" si="4"/>
        <v>4746.881606765329</v>
      </c>
      <c r="S34" s="103">
        <f t="shared" si="5"/>
        <v>3797.505285412263</v>
      </c>
      <c r="T34" s="103">
        <f t="shared" si="6"/>
        <v>10579.707662011075</v>
      </c>
      <c r="U34" s="104">
        <f t="shared" si="7"/>
        <v>62050.73995771672</v>
      </c>
      <c r="V34" s="104">
        <f t="shared" si="8"/>
        <v>12087.960526666677</v>
      </c>
      <c r="W34" s="105">
        <f t="shared" si="9"/>
        <v>33676.60582154509</v>
      </c>
    </row>
    <row r="35" spans="1:23" ht="12.75">
      <c r="A35" s="97">
        <f t="shared" si="10"/>
        <v>44</v>
      </c>
      <c r="B35" s="98">
        <f t="shared" si="11"/>
        <v>35697.67441860467</v>
      </c>
      <c r="C35" s="98">
        <f t="shared" si="22"/>
        <v>26969.696969696975</v>
      </c>
      <c r="D35" s="98">
        <f t="shared" si="12"/>
        <v>5640.063424947148</v>
      </c>
      <c r="E35" s="98">
        <f t="shared" si="13"/>
        <v>4794.053911205076</v>
      </c>
      <c r="F35" s="98">
        <f t="shared" si="0"/>
        <v>3835.243128964061</v>
      </c>
      <c r="G35" s="98">
        <f t="shared" si="1"/>
        <v>10176.04179275125</v>
      </c>
      <c r="H35" s="106">
        <f t="shared" si="20"/>
        <v>84900.776422618</v>
      </c>
      <c r="I35" s="106">
        <f t="shared" si="14"/>
        <v>5943.054349583261</v>
      </c>
      <c r="J35" s="106">
        <f t="shared" si="15"/>
        <v>6144.90617708342</v>
      </c>
      <c r="K35" s="100">
        <f t="shared" si="2"/>
        <v>50579.41086163497</v>
      </c>
      <c r="L35" s="101">
        <f t="shared" si="21"/>
        <v>0</v>
      </c>
      <c r="M35" s="101">
        <f t="shared" si="16"/>
        <v>0</v>
      </c>
      <c r="N35" s="101">
        <f t="shared" si="17"/>
        <v>0</v>
      </c>
      <c r="O35" s="101">
        <f t="shared" si="18"/>
        <v>0</v>
      </c>
      <c r="P35" s="101">
        <f t="shared" si="19"/>
        <v>0</v>
      </c>
      <c r="Q35" s="102">
        <f t="shared" si="3"/>
        <v>5640.063424947148</v>
      </c>
      <c r="R35" s="102">
        <f t="shared" si="4"/>
        <v>4794.053911205076</v>
      </c>
      <c r="S35" s="103">
        <f t="shared" si="5"/>
        <v>3835.243128964061</v>
      </c>
      <c r="T35" s="103">
        <f t="shared" si="6"/>
        <v>10176.04179275125</v>
      </c>
      <c r="U35" s="104">
        <f t="shared" si="7"/>
        <v>62667.371388301646</v>
      </c>
      <c r="V35" s="104">
        <f t="shared" si="8"/>
        <v>12087.960526666677</v>
      </c>
      <c r="W35" s="105">
        <f t="shared" si="9"/>
        <v>32072.95792528104</v>
      </c>
    </row>
    <row r="36" spans="1:23" ht="12.75">
      <c r="A36" s="97">
        <f t="shared" si="10"/>
        <v>45</v>
      </c>
      <c r="B36" s="98">
        <f t="shared" si="11"/>
        <v>36162.79069767444</v>
      </c>
      <c r="C36" s="98">
        <f t="shared" si="22"/>
        <v>27121.212121212127</v>
      </c>
      <c r="D36" s="98">
        <f t="shared" si="12"/>
        <v>5695.560253699791</v>
      </c>
      <c r="E36" s="98">
        <f t="shared" si="13"/>
        <v>4841.226215644822</v>
      </c>
      <c r="F36" s="98">
        <f t="shared" si="0"/>
        <v>3872.980972515858</v>
      </c>
      <c r="G36" s="98">
        <f t="shared" si="1"/>
        <v>9786.83002518508</v>
      </c>
      <c r="H36" s="106">
        <f t="shared" si="20"/>
        <v>78755.87024553458</v>
      </c>
      <c r="I36" s="106">
        <f t="shared" si="14"/>
        <v>5512.910917187421</v>
      </c>
      <c r="J36" s="106">
        <f t="shared" si="15"/>
        <v>6575.04960947926</v>
      </c>
      <c r="K36" s="100">
        <f t="shared" si="2"/>
        <v>51196.04229221989</v>
      </c>
      <c r="L36" s="101">
        <f t="shared" si="21"/>
        <v>0</v>
      </c>
      <c r="M36" s="101">
        <f t="shared" si="16"/>
        <v>0</v>
      </c>
      <c r="N36" s="101">
        <f t="shared" si="17"/>
        <v>0</v>
      </c>
      <c r="O36" s="101">
        <f t="shared" si="18"/>
        <v>0</v>
      </c>
      <c r="P36" s="101">
        <f t="shared" si="19"/>
        <v>0</v>
      </c>
      <c r="Q36" s="102">
        <f t="shared" si="3"/>
        <v>5695.560253699791</v>
      </c>
      <c r="R36" s="102">
        <f t="shared" si="4"/>
        <v>4841.226215644822</v>
      </c>
      <c r="S36" s="103">
        <f t="shared" si="5"/>
        <v>3872.980972515858</v>
      </c>
      <c r="T36" s="103">
        <f t="shared" si="6"/>
        <v>9786.83002518508</v>
      </c>
      <c r="U36" s="104">
        <f t="shared" si="7"/>
        <v>63284.00281888657</v>
      </c>
      <c r="V36" s="104">
        <f t="shared" si="8"/>
        <v>12087.960526666677</v>
      </c>
      <c r="W36" s="105">
        <f t="shared" si="9"/>
        <v>30545.67421455337</v>
      </c>
    </row>
    <row r="37" spans="1:23" ht="12.75">
      <c r="A37" s="97">
        <f t="shared" si="10"/>
        <v>46</v>
      </c>
      <c r="B37" s="98">
        <f t="shared" si="11"/>
        <v>36627.90697674421</v>
      </c>
      <c r="C37" s="98">
        <f t="shared" si="22"/>
        <v>27272.72727272728</v>
      </c>
      <c r="D37" s="98">
        <f t="shared" si="12"/>
        <v>5751.057082452434</v>
      </c>
      <c r="E37" s="98">
        <f t="shared" si="13"/>
        <v>4888.398520084569</v>
      </c>
      <c r="F37" s="98">
        <f t="shared" si="0"/>
        <v>3910.7188160676556</v>
      </c>
      <c r="G37" s="98">
        <f t="shared" si="1"/>
        <v>9411.611120306048</v>
      </c>
      <c r="H37" s="106">
        <f t="shared" si="20"/>
        <v>72180.82063605532</v>
      </c>
      <c r="I37" s="106">
        <f t="shared" si="14"/>
        <v>5052.657444523873</v>
      </c>
      <c r="J37" s="106">
        <f t="shared" si="15"/>
        <v>7035.303082142807</v>
      </c>
      <c r="K37" s="100">
        <f t="shared" si="2"/>
        <v>51812.673722804815</v>
      </c>
      <c r="L37" s="101">
        <f t="shared" si="21"/>
        <v>0</v>
      </c>
      <c r="M37" s="101">
        <f t="shared" si="16"/>
        <v>0</v>
      </c>
      <c r="N37" s="101">
        <f t="shared" si="17"/>
        <v>0</v>
      </c>
      <c r="O37" s="101">
        <f t="shared" si="18"/>
        <v>0</v>
      </c>
      <c r="P37" s="101">
        <f t="shared" si="19"/>
        <v>0</v>
      </c>
      <c r="Q37" s="102">
        <f t="shared" si="3"/>
        <v>5751.057082452434</v>
      </c>
      <c r="R37" s="102">
        <f t="shared" si="4"/>
        <v>4888.398520084569</v>
      </c>
      <c r="S37" s="103">
        <f t="shared" si="5"/>
        <v>3910.7188160676556</v>
      </c>
      <c r="T37" s="103">
        <f t="shared" si="6"/>
        <v>9411.611120306048</v>
      </c>
      <c r="U37" s="104">
        <f t="shared" si="7"/>
        <v>63900.63424947149</v>
      </c>
      <c r="V37" s="104">
        <f t="shared" si="8"/>
        <v>12087.960526666677</v>
      </c>
      <c r="W37" s="105">
        <f t="shared" si="9"/>
        <v>29091.11829957464</v>
      </c>
    </row>
    <row r="38" spans="1:23" ht="12.75">
      <c r="A38" s="97">
        <f t="shared" si="10"/>
        <v>47</v>
      </c>
      <c r="B38" s="98">
        <f t="shared" si="11"/>
        <v>37093.02325581398</v>
      </c>
      <c r="C38" s="98">
        <f t="shared" si="22"/>
        <v>27424.24242424243</v>
      </c>
      <c r="D38" s="98">
        <f t="shared" si="12"/>
        <v>5806.553911205077</v>
      </c>
      <c r="E38" s="98">
        <f t="shared" si="13"/>
        <v>4935.570824524316</v>
      </c>
      <c r="F38" s="98">
        <f t="shared" si="0"/>
        <v>3948.4566596194527</v>
      </c>
      <c r="G38" s="98">
        <f t="shared" si="1"/>
        <v>9049.934990891265</v>
      </c>
      <c r="H38" s="106">
        <f t="shared" si="20"/>
        <v>65145.517553912505</v>
      </c>
      <c r="I38" s="106">
        <f t="shared" si="14"/>
        <v>4560.186228773876</v>
      </c>
      <c r="J38" s="106">
        <f t="shared" si="15"/>
        <v>7527.7742978928045</v>
      </c>
      <c r="K38" s="100">
        <f t="shared" si="2"/>
        <v>52429.30515338974</v>
      </c>
      <c r="L38" s="101">
        <f t="shared" si="21"/>
        <v>0</v>
      </c>
      <c r="M38" s="101">
        <f t="shared" si="16"/>
        <v>0</v>
      </c>
      <c r="N38" s="101">
        <f t="shared" si="17"/>
        <v>0</v>
      </c>
      <c r="O38" s="101">
        <f t="shared" si="18"/>
        <v>0</v>
      </c>
      <c r="P38" s="101">
        <f t="shared" si="19"/>
        <v>0</v>
      </c>
      <c r="Q38" s="102">
        <f t="shared" si="3"/>
        <v>5806.553911205077</v>
      </c>
      <c r="R38" s="102">
        <f t="shared" si="4"/>
        <v>4935.570824524316</v>
      </c>
      <c r="S38" s="103">
        <f t="shared" si="5"/>
        <v>3948.4566596194527</v>
      </c>
      <c r="T38" s="103">
        <f t="shared" si="6"/>
        <v>9049.934990891265</v>
      </c>
      <c r="U38" s="104">
        <f t="shared" si="7"/>
        <v>64517.265680056415</v>
      </c>
      <c r="V38" s="104">
        <f t="shared" si="8"/>
        <v>12087.960526666677</v>
      </c>
      <c r="W38" s="105">
        <f t="shared" si="9"/>
        <v>27705.826951975847</v>
      </c>
    </row>
    <row r="39" spans="1:23" ht="12.75">
      <c r="A39" s="97">
        <f t="shared" si="10"/>
        <v>48</v>
      </c>
      <c r="B39" s="98">
        <f t="shared" si="11"/>
        <v>37558.139534883754</v>
      </c>
      <c r="C39" s="98">
        <f t="shared" si="22"/>
        <v>27575.757575757583</v>
      </c>
      <c r="D39" s="98">
        <f t="shared" si="12"/>
        <v>5862.05073995772</v>
      </c>
      <c r="E39" s="98">
        <f t="shared" si="13"/>
        <v>4982.743128964062</v>
      </c>
      <c r="F39" s="98">
        <f t="shared" si="0"/>
        <v>3986.1945031712494</v>
      </c>
      <c r="G39" s="98">
        <f t="shared" si="1"/>
        <v>8701.362685320277</v>
      </c>
      <c r="H39" s="106">
        <f t="shared" si="20"/>
        <v>57617.7432560197</v>
      </c>
      <c r="I39" s="106">
        <f t="shared" si="14"/>
        <v>4033.2420279213793</v>
      </c>
      <c r="J39" s="106">
        <f t="shared" si="15"/>
        <v>8054.718498745301</v>
      </c>
      <c r="K39" s="100">
        <f t="shared" si="2"/>
        <v>53045.93658397466</v>
      </c>
      <c r="L39" s="101">
        <f t="shared" si="21"/>
        <v>0</v>
      </c>
      <c r="M39" s="101">
        <f t="shared" si="16"/>
        <v>0</v>
      </c>
      <c r="N39" s="101">
        <f t="shared" si="17"/>
        <v>0</v>
      </c>
      <c r="O39" s="101">
        <f t="shared" si="18"/>
        <v>0</v>
      </c>
      <c r="P39" s="101">
        <f t="shared" si="19"/>
        <v>0</v>
      </c>
      <c r="Q39" s="102">
        <f t="shared" si="3"/>
        <v>5862.05073995772</v>
      </c>
      <c r="R39" s="102">
        <f t="shared" si="4"/>
        <v>4982.743128964062</v>
      </c>
      <c r="S39" s="103">
        <f t="shared" si="5"/>
        <v>3986.1945031712494</v>
      </c>
      <c r="T39" s="103">
        <f t="shared" si="6"/>
        <v>8701.362685320277</v>
      </c>
      <c r="U39" s="104">
        <f t="shared" si="7"/>
        <v>65133.89711064134</v>
      </c>
      <c r="V39" s="104">
        <f t="shared" si="8"/>
        <v>12087.960526666677</v>
      </c>
      <c r="W39" s="105">
        <f t="shared" si="9"/>
        <v>26386.501859024615</v>
      </c>
    </row>
    <row r="40" spans="1:23" ht="12.75">
      <c r="A40" s="97">
        <f t="shared" si="10"/>
        <v>49</v>
      </c>
      <c r="B40" s="98">
        <f t="shared" si="11"/>
        <v>38023.255813953525</v>
      </c>
      <c r="C40" s="98">
        <f t="shared" si="22"/>
        <v>27727.272727272735</v>
      </c>
      <c r="D40" s="98">
        <f t="shared" si="12"/>
        <v>5917.5475687103635</v>
      </c>
      <c r="E40" s="98">
        <f t="shared" si="13"/>
        <v>5029.9154334038085</v>
      </c>
      <c r="F40" s="98">
        <f t="shared" si="0"/>
        <v>4023.932346723047</v>
      </c>
      <c r="G40" s="98">
        <f t="shared" si="1"/>
        <v>8365.466347647458</v>
      </c>
      <c r="H40" s="106">
        <f t="shared" si="20"/>
        <v>49563.0247572744</v>
      </c>
      <c r="I40" s="106">
        <f t="shared" si="14"/>
        <v>3469.411733009208</v>
      </c>
      <c r="J40" s="106">
        <f t="shared" si="15"/>
        <v>8618.548793657472</v>
      </c>
      <c r="K40" s="100">
        <f t="shared" si="2"/>
        <v>53662.56801455958</v>
      </c>
      <c r="L40" s="101">
        <f t="shared" si="21"/>
        <v>0</v>
      </c>
      <c r="M40" s="101">
        <f t="shared" si="16"/>
        <v>0</v>
      </c>
      <c r="N40" s="101">
        <f t="shared" si="17"/>
        <v>0</v>
      </c>
      <c r="O40" s="101">
        <f t="shared" si="18"/>
        <v>0</v>
      </c>
      <c r="P40" s="101">
        <f t="shared" si="19"/>
        <v>0</v>
      </c>
      <c r="Q40" s="102">
        <f t="shared" si="3"/>
        <v>5917.5475687103635</v>
      </c>
      <c r="R40" s="102">
        <f t="shared" si="4"/>
        <v>5029.9154334038085</v>
      </c>
      <c r="S40" s="103">
        <f t="shared" si="5"/>
        <v>4023.932346723047</v>
      </c>
      <c r="T40" s="103">
        <f t="shared" si="6"/>
        <v>8365.466347647458</v>
      </c>
      <c r="U40" s="104">
        <f t="shared" si="7"/>
        <v>65750.52854122626</v>
      </c>
      <c r="V40" s="104">
        <f t="shared" si="8"/>
        <v>12087.960526666677</v>
      </c>
      <c r="W40" s="105">
        <f t="shared" si="9"/>
        <v>25130.001770499635</v>
      </c>
    </row>
    <row r="41" spans="1:23" ht="12.75">
      <c r="A41" s="97">
        <f t="shared" si="10"/>
        <v>50</v>
      </c>
      <c r="B41" s="98">
        <f t="shared" si="11"/>
        <v>38488.372093023296</v>
      </c>
      <c r="C41" s="98">
        <f t="shared" si="22"/>
        <v>27878.787878787887</v>
      </c>
      <c r="D41" s="98">
        <f t="shared" si="12"/>
        <v>5973.044397463006</v>
      </c>
      <c r="E41" s="98">
        <f t="shared" si="13"/>
        <v>5077.087737843555</v>
      </c>
      <c r="F41" s="98">
        <f t="shared" si="0"/>
        <v>4061.6701902748446</v>
      </c>
      <c r="G41" s="98">
        <f t="shared" si="1"/>
        <v>8041.829156226195</v>
      </c>
      <c r="H41" s="106">
        <f t="shared" si="20"/>
        <v>40944.475963616926</v>
      </c>
      <c r="I41" s="106">
        <f t="shared" si="14"/>
        <v>2866.113317453185</v>
      </c>
      <c r="J41" s="106">
        <f t="shared" si="15"/>
        <v>9221.847209213494</v>
      </c>
      <c r="K41" s="100">
        <f t="shared" si="2"/>
        <v>54279.199445144506</v>
      </c>
      <c r="L41" s="101">
        <f t="shared" si="21"/>
        <v>0</v>
      </c>
      <c r="M41" s="101">
        <f t="shared" si="16"/>
        <v>0</v>
      </c>
      <c r="N41" s="101">
        <f t="shared" si="17"/>
        <v>0</v>
      </c>
      <c r="O41" s="101">
        <f t="shared" si="18"/>
        <v>0</v>
      </c>
      <c r="P41" s="101">
        <f t="shared" si="19"/>
        <v>0</v>
      </c>
      <c r="Q41" s="102">
        <f t="shared" si="3"/>
        <v>5973.044397463006</v>
      </c>
      <c r="R41" s="102">
        <f t="shared" si="4"/>
        <v>5077.087737843555</v>
      </c>
      <c r="S41" s="103">
        <f t="shared" si="5"/>
        <v>4061.6701902748446</v>
      </c>
      <c r="T41" s="103">
        <f t="shared" si="6"/>
        <v>8041.829156226195</v>
      </c>
      <c r="U41" s="104">
        <f t="shared" si="7"/>
        <v>66367.15997181118</v>
      </c>
      <c r="V41" s="104">
        <f t="shared" si="8"/>
        <v>12087.960526666677</v>
      </c>
      <c r="W41" s="105">
        <f t="shared" si="9"/>
        <v>23933.335019523453</v>
      </c>
    </row>
    <row r="42" spans="1:23" ht="12.75">
      <c r="A42" s="97">
        <f t="shared" si="10"/>
        <v>51</v>
      </c>
      <c r="B42" s="98">
        <f t="shared" si="11"/>
        <v>38953.48837209307</v>
      </c>
      <c r="C42" s="98">
        <f t="shared" si="22"/>
        <v>28030.30303030304</v>
      </c>
      <c r="D42" s="98">
        <f t="shared" si="12"/>
        <v>6028.54122621565</v>
      </c>
      <c r="E42" s="98">
        <f t="shared" si="13"/>
        <v>5124.260042283302</v>
      </c>
      <c r="F42" s="98">
        <f t="shared" si="0"/>
        <v>4099.408033826642</v>
      </c>
      <c r="G42" s="98">
        <f t="shared" si="1"/>
        <v>7730.045243018191</v>
      </c>
      <c r="H42" s="106">
        <f t="shared" si="20"/>
        <v>31722.62875440343</v>
      </c>
      <c r="I42" s="106">
        <f t="shared" si="14"/>
        <v>2220.5840128082405</v>
      </c>
      <c r="J42" s="106">
        <f t="shared" si="15"/>
        <v>9867.37651385844</v>
      </c>
      <c r="K42" s="100">
        <f t="shared" si="2"/>
        <v>54895.83087572943</v>
      </c>
      <c r="L42" s="101">
        <f t="shared" si="21"/>
        <v>0</v>
      </c>
      <c r="M42" s="101">
        <f t="shared" si="16"/>
        <v>0</v>
      </c>
      <c r="N42" s="101">
        <f t="shared" si="17"/>
        <v>0</v>
      </c>
      <c r="O42" s="101">
        <f t="shared" si="18"/>
        <v>0</v>
      </c>
      <c r="P42" s="101">
        <f t="shared" si="19"/>
        <v>0</v>
      </c>
      <c r="Q42" s="102">
        <f t="shared" si="3"/>
        <v>6028.54122621565</v>
      </c>
      <c r="R42" s="102">
        <f t="shared" si="4"/>
        <v>5124.260042283302</v>
      </c>
      <c r="S42" s="103">
        <f t="shared" si="5"/>
        <v>4099.408033826642</v>
      </c>
      <c r="T42" s="103">
        <f t="shared" si="6"/>
        <v>7730.045243018191</v>
      </c>
      <c r="U42" s="104">
        <f t="shared" si="7"/>
        <v>66983.7914023961</v>
      </c>
      <c r="V42" s="104">
        <f t="shared" si="8"/>
        <v>12087.960526666677</v>
      </c>
      <c r="W42" s="105">
        <f t="shared" si="9"/>
        <v>22793.65239954615</v>
      </c>
    </row>
    <row r="43" spans="1:23" ht="12.75">
      <c r="A43" s="97">
        <f t="shared" si="10"/>
        <v>52</v>
      </c>
      <c r="B43" s="98">
        <f t="shared" si="11"/>
        <v>39418.60465116284</v>
      </c>
      <c r="C43" s="98">
        <f t="shared" si="22"/>
        <v>28181.81818181819</v>
      </c>
      <c r="D43" s="98">
        <f t="shared" si="12"/>
        <v>6084.038054968292</v>
      </c>
      <c r="E43" s="98">
        <f t="shared" si="13"/>
        <v>5171.432346723048</v>
      </c>
      <c r="F43" s="98">
        <f t="shared" si="0"/>
        <v>4137.145877378439</v>
      </c>
      <c r="G43" s="98">
        <f t="shared" si="1"/>
        <v>7429.719595566441</v>
      </c>
      <c r="H43" s="106">
        <f t="shared" si="20"/>
        <v>21855.252240544993</v>
      </c>
      <c r="I43" s="106">
        <f t="shared" si="14"/>
        <v>1529.8676568381497</v>
      </c>
      <c r="J43" s="106">
        <f t="shared" si="15"/>
        <v>10558.092869828532</v>
      </c>
      <c r="K43" s="100">
        <f t="shared" si="2"/>
        <v>55512.46230631435</v>
      </c>
      <c r="L43" s="101">
        <f t="shared" si="21"/>
        <v>0</v>
      </c>
      <c r="M43" s="101">
        <f t="shared" si="16"/>
        <v>0</v>
      </c>
      <c r="N43" s="101">
        <f t="shared" si="17"/>
        <v>0</v>
      </c>
      <c r="O43" s="101">
        <f t="shared" si="18"/>
        <v>0</v>
      </c>
      <c r="P43" s="101">
        <f t="shared" si="19"/>
        <v>0</v>
      </c>
      <c r="Q43" s="102">
        <f t="shared" si="3"/>
        <v>6084.038054968292</v>
      </c>
      <c r="R43" s="102">
        <f t="shared" si="4"/>
        <v>5171.432346723048</v>
      </c>
      <c r="S43" s="103">
        <f t="shared" si="5"/>
        <v>4137.145877378439</v>
      </c>
      <c r="T43" s="103">
        <f t="shared" si="6"/>
        <v>7429.719595566441</v>
      </c>
      <c r="U43" s="104">
        <f t="shared" si="7"/>
        <v>67600.42283298103</v>
      </c>
      <c r="V43" s="104">
        <f t="shared" si="8"/>
        <v>12087.960526666677</v>
      </c>
      <c r="W43" s="105">
        <f t="shared" si="9"/>
        <v>21708.24038052014</v>
      </c>
    </row>
    <row r="44" spans="1:23" ht="12.75">
      <c r="A44" s="97">
        <f t="shared" si="10"/>
        <v>53</v>
      </c>
      <c r="B44" s="98">
        <f t="shared" si="11"/>
        <v>39883.72093023261</v>
      </c>
      <c r="C44" s="98">
        <f t="shared" si="22"/>
        <v>28333.333333333343</v>
      </c>
      <c r="D44" s="98">
        <f t="shared" si="12"/>
        <v>6139.534883720936</v>
      </c>
      <c r="E44" s="98">
        <f t="shared" si="13"/>
        <v>5218.604651162796</v>
      </c>
      <c r="F44" s="98">
        <f t="shared" si="0"/>
        <v>4174.883720930236</v>
      </c>
      <c r="G44" s="98">
        <f t="shared" si="1"/>
        <v>7140.467943466068</v>
      </c>
      <c r="H44" s="106">
        <f t="shared" si="20"/>
        <v>11297.159370716461</v>
      </c>
      <c r="I44" s="106">
        <f t="shared" si="14"/>
        <v>790.8011559501524</v>
      </c>
      <c r="J44" s="106">
        <f t="shared" si="15"/>
        <v>11297.159370716528</v>
      </c>
      <c r="K44" s="100">
        <f t="shared" si="2"/>
        <v>56129.093736899275</v>
      </c>
      <c r="L44" s="101">
        <f t="shared" si="21"/>
        <v>0</v>
      </c>
      <c r="M44" s="101">
        <f t="shared" si="16"/>
        <v>0</v>
      </c>
      <c r="N44" s="101">
        <f t="shared" si="17"/>
        <v>0</v>
      </c>
      <c r="O44" s="101">
        <f t="shared" si="18"/>
        <v>0</v>
      </c>
      <c r="P44" s="101">
        <f t="shared" si="19"/>
        <v>0</v>
      </c>
      <c r="Q44" s="102">
        <f t="shared" si="3"/>
        <v>6139.534883720936</v>
      </c>
      <c r="R44" s="102">
        <f t="shared" si="4"/>
        <v>5218.604651162796</v>
      </c>
      <c r="S44" s="103">
        <f t="shared" si="5"/>
        <v>4174.883720930236</v>
      </c>
      <c r="T44" s="103">
        <f t="shared" si="6"/>
        <v>7140.467943466068</v>
      </c>
      <c r="U44" s="104">
        <f t="shared" si="7"/>
        <v>68217.05426356595</v>
      </c>
      <c r="V44" s="104">
        <f t="shared" si="8"/>
        <v>12087.960526666677</v>
      </c>
      <c r="W44" s="105">
        <f t="shared" si="9"/>
        <v>20674.514648114422</v>
      </c>
    </row>
    <row r="45" spans="1:23" ht="12.75">
      <c r="A45" s="97">
        <f t="shared" si="10"/>
        <v>54</v>
      </c>
      <c r="B45" s="98">
        <f t="shared" si="11"/>
        <v>40348.83720930238</v>
      </c>
      <c r="C45" s="98">
        <f t="shared" si="22"/>
        <v>28484.848484848495</v>
      </c>
      <c r="D45" s="98">
        <f t="shared" si="12"/>
        <v>6195.031712473578</v>
      </c>
      <c r="E45" s="98">
        <f t="shared" si="13"/>
        <v>5265.776955602541</v>
      </c>
      <c r="F45" s="98">
        <f t="shared" si="0"/>
        <v>4212.621564482033</v>
      </c>
      <c r="G45" s="98">
        <f t="shared" si="1"/>
        <v>6861.916631031563</v>
      </c>
      <c r="H45" s="106">
        <f t="shared" si="20"/>
        <v>0</v>
      </c>
      <c r="I45" s="106">
        <f t="shared" si="14"/>
        <v>0</v>
      </c>
      <c r="J45" s="106">
        <f t="shared" si="15"/>
        <v>0</v>
      </c>
      <c r="K45" s="100">
        <f t="shared" si="2"/>
        <v>68833.68569415087</v>
      </c>
      <c r="L45" s="101">
        <f t="shared" si="21"/>
        <v>0</v>
      </c>
      <c r="M45" s="101">
        <f t="shared" si="16"/>
        <v>0</v>
      </c>
      <c r="N45" s="101">
        <f t="shared" si="17"/>
        <v>0</v>
      </c>
      <c r="O45" s="101">
        <f t="shared" si="18"/>
        <v>0</v>
      </c>
      <c r="P45" s="101">
        <f t="shared" si="19"/>
        <v>0</v>
      </c>
      <c r="Q45" s="102">
        <f t="shared" si="3"/>
        <v>6195.031712473578</v>
      </c>
      <c r="R45" s="102">
        <f t="shared" si="4"/>
        <v>5265.776955602541</v>
      </c>
      <c r="S45" s="103">
        <f t="shared" si="5"/>
        <v>4212.621564482033</v>
      </c>
      <c r="T45" s="103">
        <f t="shared" si="6"/>
        <v>6861.916631031563</v>
      </c>
      <c r="U45" s="104">
        <f t="shared" si="7"/>
        <v>68833.68569415087</v>
      </c>
      <c r="V45" s="104">
        <f t="shared" si="8"/>
        <v>0</v>
      </c>
      <c r="W45" s="105">
        <f t="shared" si="9"/>
        <v>0</v>
      </c>
    </row>
    <row r="46" spans="1:23" ht="12.75">
      <c r="A46" s="97">
        <f t="shared" si="10"/>
        <v>55</v>
      </c>
      <c r="B46" s="98">
        <f t="shared" si="11"/>
        <v>40813.95348837215</v>
      </c>
      <c r="C46" s="98">
        <f t="shared" si="22"/>
        <v>28636.363636363647</v>
      </c>
      <c r="D46" s="98">
        <f t="shared" si="12"/>
        <v>6250.528541226222</v>
      </c>
      <c r="E46" s="98">
        <f t="shared" si="13"/>
        <v>5312.949260042288</v>
      </c>
      <c r="F46" s="98">
        <f t="shared" si="0"/>
        <v>4250.359408033831</v>
      </c>
      <c r="G46" s="98">
        <f t="shared" si="1"/>
        <v>6593.702477732623</v>
      </c>
      <c r="H46" s="106">
        <f t="shared" si="20"/>
        <v>0</v>
      </c>
      <c r="I46" s="106">
        <f t="shared" si="14"/>
        <v>0</v>
      </c>
      <c r="J46" s="106">
        <f t="shared" si="15"/>
        <v>0</v>
      </c>
      <c r="K46" s="100">
        <f t="shared" si="2"/>
        <v>69450.3171247358</v>
      </c>
      <c r="L46" s="101">
        <f t="shared" si="21"/>
        <v>0</v>
      </c>
      <c r="M46" s="101">
        <f t="shared" si="16"/>
        <v>0</v>
      </c>
      <c r="N46" s="101">
        <f t="shared" si="17"/>
        <v>0</v>
      </c>
      <c r="O46" s="101">
        <f t="shared" si="18"/>
        <v>0</v>
      </c>
      <c r="P46" s="101">
        <f t="shared" si="19"/>
        <v>0</v>
      </c>
      <c r="Q46" s="102">
        <f t="shared" si="3"/>
        <v>6250.528541226222</v>
      </c>
      <c r="R46" s="102">
        <f t="shared" si="4"/>
        <v>5312.949260042288</v>
      </c>
      <c r="S46" s="103">
        <f t="shared" si="5"/>
        <v>4250.359408033831</v>
      </c>
      <c r="T46" s="103">
        <f t="shared" si="6"/>
        <v>6593.702477732623</v>
      </c>
      <c r="U46" s="104">
        <f t="shared" si="7"/>
        <v>69450.3171247358</v>
      </c>
      <c r="V46" s="104">
        <f t="shared" si="8"/>
        <v>0</v>
      </c>
      <c r="W46" s="105">
        <f t="shared" si="9"/>
        <v>0</v>
      </c>
    </row>
    <row r="47" spans="1:23" ht="12.75">
      <c r="A47" s="97">
        <f t="shared" si="10"/>
        <v>56</v>
      </c>
      <c r="B47" s="98">
        <f t="shared" si="11"/>
        <v>41279.06976744192</v>
      </c>
      <c r="C47" s="98">
        <f t="shared" si="22"/>
        <v>28787.8787878788</v>
      </c>
      <c r="D47" s="98">
        <f t="shared" si="12"/>
        <v>6306.025369978865</v>
      </c>
      <c r="E47" s="98">
        <f t="shared" si="13"/>
        <v>5360.121564482035</v>
      </c>
      <c r="F47" s="98">
        <f t="shared" si="0"/>
        <v>4288.097251585628</v>
      </c>
      <c r="G47" s="98">
        <f t="shared" si="1"/>
        <v>6335.472627852104</v>
      </c>
      <c r="H47" s="106">
        <f t="shared" si="20"/>
        <v>0</v>
      </c>
      <c r="I47" s="106">
        <f t="shared" si="14"/>
        <v>0</v>
      </c>
      <c r="J47" s="106">
        <f t="shared" si="15"/>
        <v>0</v>
      </c>
      <c r="K47" s="100">
        <f t="shared" si="2"/>
        <v>70066.94855532072</v>
      </c>
      <c r="L47" s="101">
        <f t="shared" si="21"/>
        <v>0</v>
      </c>
      <c r="M47" s="101">
        <f t="shared" si="16"/>
        <v>0</v>
      </c>
      <c r="N47" s="101">
        <f t="shared" si="17"/>
        <v>0</v>
      </c>
      <c r="O47" s="101">
        <f t="shared" si="18"/>
        <v>0</v>
      </c>
      <c r="P47" s="101">
        <f t="shared" si="19"/>
        <v>0</v>
      </c>
      <c r="Q47" s="102">
        <f t="shared" si="3"/>
        <v>6306.025369978865</v>
      </c>
      <c r="R47" s="102">
        <f t="shared" si="4"/>
        <v>5360.121564482035</v>
      </c>
      <c r="S47" s="103">
        <f t="shared" si="5"/>
        <v>4288.097251585628</v>
      </c>
      <c r="T47" s="103">
        <f t="shared" si="6"/>
        <v>6335.472627852104</v>
      </c>
      <c r="U47" s="104">
        <f t="shared" si="7"/>
        <v>70066.94855532072</v>
      </c>
      <c r="V47" s="104">
        <f t="shared" si="8"/>
        <v>0</v>
      </c>
      <c r="W47" s="105">
        <f t="shared" si="9"/>
        <v>0</v>
      </c>
    </row>
    <row r="48" spans="1:23" ht="12.75">
      <c r="A48" s="97">
        <f t="shared" si="10"/>
        <v>57</v>
      </c>
      <c r="B48" s="98">
        <f t="shared" si="11"/>
        <v>41744.18604651169</v>
      </c>
      <c r="C48" s="98">
        <f t="shared" si="22"/>
        <v>28939.39393939395</v>
      </c>
      <c r="D48" s="98">
        <f t="shared" si="12"/>
        <v>6361.522198731507</v>
      </c>
      <c r="E48" s="98">
        <f t="shared" si="13"/>
        <v>5407.293868921781</v>
      </c>
      <c r="F48" s="98">
        <f t="shared" si="0"/>
        <v>4325.835095137425</v>
      </c>
      <c r="G48" s="98">
        <f t="shared" si="1"/>
        <v>6086.884390709111</v>
      </c>
      <c r="H48" s="106">
        <f t="shared" si="20"/>
        <v>0</v>
      </c>
      <c r="I48" s="106">
        <f t="shared" si="14"/>
        <v>0</v>
      </c>
      <c r="J48" s="106">
        <f t="shared" si="15"/>
        <v>0</v>
      </c>
      <c r="K48" s="100">
        <f t="shared" si="2"/>
        <v>70683.57998590564</v>
      </c>
      <c r="L48" s="101">
        <f t="shared" si="21"/>
        <v>0</v>
      </c>
      <c r="M48" s="101">
        <f t="shared" si="16"/>
        <v>0</v>
      </c>
      <c r="N48" s="101">
        <f t="shared" si="17"/>
        <v>0</v>
      </c>
      <c r="O48" s="101">
        <f t="shared" si="18"/>
        <v>0</v>
      </c>
      <c r="P48" s="101">
        <f t="shared" si="19"/>
        <v>0</v>
      </c>
      <c r="Q48" s="102">
        <f t="shared" si="3"/>
        <v>6361.522198731507</v>
      </c>
      <c r="R48" s="102">
        <f t="shared" si="4"/>
        <v>5407.293868921781</v>
      </c>
      <c r="S48" s="103">
        <f t="shared" si="5"/>
        <v>4325.835095137425</v>
      </c>
      <c r="T48" s="103">
        <f t="shared" si="6"/>
        <v>6086.884390709111</v>
      </c>
      <c r="U48" s="104">
        <f t="shared" si="7"/>
        <v>70683.57998590564</v>
      </c>
      <c r="V48" s="104">
        <f t="shared" si="8"/>
        <v>0</v>
      </c>
      <c r="W48" s="105">
        <f t="shared" si="9"/>
        <v>0</v>
      </c>
    </row>
    <row r="49" spans="1:23" ht="12.75">
      <c r="A49" s="97">
        <f t="shared" si="10"/>
        <v>58</v>
      </c>
      <c r="B49" s="98">
        <f t="shared" si="11"/>
        <v>42209.30232558146</v>
      </c>
      <c r="C49" s="98">
        <f t="shared" si="22"/>
        <v>29090.909090909103</v>
      </c>
      <c r="D49" s="98">
        <f t="shared" si="12"/>
        <v>6417.019027484151</v>
      </c>
      <c r="E49" s="98">
        <f t="shared" si="13"/>
        <v>5454.466173361528</v>
      </c>
      <c r="F49" s="98">
        <f t="shared" si="0"/>
        <v>4363.572938689223</v>
      </c>
      <c r="G49" s="98">
        <f t="shared" si="1"/>
        <v>5847.605072686648</v>
      </c>
      <c r="H49" s="106">
        <f t="shared" si="20"/>
        <v>0</v>
      </c>
      <c r="I49" s="106">
        <f t="shared" si="14"/>
        <v>0</v>
      </c>
      <c r="J49" s="106">
        <f t="shared" si="15"/>
        <v>0</v>
      </c>
      <c r="K49" s="100">
        <f t="shared" si="2"/>
        <v>71300.21141649057</v>
      </c>
      <c r="L49" s="101">
        <f t="shared" si="21"/>
        <v>0</v>
      </c>
      <c r="M49" s="101">
        <f t="shared" si="16"/>
        <v>0</v>
      </c>
      <c r="N49" s="101">
        <f t="shared" si="17"/>
        <v>0</v>
      </c>
      <c r="O49" s="101">
        <f t="shared" si="18"/>
        <v>0</v>
      </c>
      <c r="P49" s="101">
        <f t="shared" si="19"/>
        <v>0</v>
      </c>
      <c r="Q49" s="102">
        <f t="shared" si="3"/>
        <v>6417.019027484151</v>
      </c>
      <c r="R49" s="102">
        <f t="shared" si="4"/>
        <v>5454.466173361528</v>
      </c>
      <c r="S49" s="103">
        <f t="shared" si="5"/>
        <v>4363.572938689223</v>
      </c>
      <c r="T49" s="103">
        <f t="shared" si="6"/>
        <v>5847.605072686648</v>
      </c>
      <c r="U49" s="104">
        <f t="shared" si="7"/>
        <v>71300.21141649057</v>
      </c>
      <c r="V49" s="104">
        <f t="shared" si="8"/>
        <v>0</v>
      </c>
      <c r="W49" s="105">
        <f t="shared" si="9"/>
        <v>0</v>
      </c>
    </row>
    <row r="50" spans="1:23" ht="12.75">
      <c r="A50" s="97">
        <f t="shared" si="10"/>
        <v>59</v>
      </c>
      <c r="B50" s="98">
        <f t="shared" si="11"/>
        <v>42674.41860465123</v>
      </c>
      <c r="C50" s="98">
        <f t="shared" si="22"/>
        <v>29242.424242424255</v>
      </c>
      <c r="D50" s="98">
        <f t="shared" si="12"/>
        <v>6472.515856236793</v>
      </c>
      <c r="E50" s="98">
        <f t="shared" si="13"/>
        <v>5501.638477801274</v>
      </c>
      <c r="F50" s="98">
        <f t="shared" si="0"/>
        <v>4401.310782241019</v>
      </c>
      <c r="G50" s="98">
        <f t="shared" si="1"/>
        <v>5617.311802206666</v>
      </c>
      <c r="H50" s="106">
        <f t="shared" si="20"/>
        <v>0</v>
      </c>
      <c r="I50" s="106">
        <f t="shared" si="14"/>
        <v>0</v>
      </c>
      <c r="J50" s="106">
        <f t="shared" si="15"/>
        <v>0</v>
      </c>
      <c r="K50" s="100">
        <f t="shared" si="2"/>
        <v>71916.84284707549</v>
      </c>
      <c r="L50" s="101">
        <f t="shared" si="21"/>
        <v>0</v>
      </c>
      <c r="M50" s="101">
        <f t="shared" si="16"/>
        <v>0</v>
      </c>
      <c r="N50" s="101">
        <f t="shared" si="17"/>
        <v>0</v>
      </c>
      <c r="O50" s="101">
        <f t="shared" si="18"/>
        <v>0</v>
      </c>
      <c r="P50" s="101">
        <f t="shared" si="19"/>
        <v>0</v>
      </c>
      <c r="Q50" s="102">
        <f t="shared" si="3"/>
        <v>6472.515856236793</v>
      </c>
      <c r="R50" s="102">
        <f t="shared" si="4"/>
        <v>5501.638477801274</v>
      </c>
      <c r="S50" s="103">
        <f t="shared" si="5"/>
        <v>4401.310782241019</v>
      </c>
      <c r="T50" s="103">
        <f t="shared" si="6"/>
        <v>5617.311802206666</v>
      </c>
      <c r="U50" s="104">
        <f t="shared" si="7"/>
        <v>71916.84284707549</v>
      </c>
      <c r="V50" s="104">
        <f t="shared" si="8"/>
        <v>0</v>
      </c>
      <c r="W50" s="105">
        <f t="shared" si="9"/>
        <v>0</v>
      </c>
    </row>
    <row r="51" spans="1:23" ht="12.75">
      <c r="A51" s="97">
        <f t="shared" si="10"/>
        <v>60</v>
      </c>
      <c r="B51" s="98">
        <f t="shared" si="11"/>
        <v>43139.534883721004</v>
      </c>
      <c r="C51" s="98">
        <f t="shared" si="22"/>
        <v>29393.939393939407</v>
      </c>
      <c r="D51" s="98">
        <f t="shared" si="12"/>
        <v>6528.012684989437</v>
      </c>
      <c r="E51" s="98">
        <f t="shared" si="13"/>
        <v>5548.810782241021</v>
      </c>
      <c r="F51" s="98">
        <f t="shared" si="0"/>
        <v>4439.048625792817</v>
      </c>
      <c r="G51" s="98">
        <f t="shared" si="1"/>
        <v>5395.691348705081</v>
      </c>
      <c r="H51" s="106">
        <f t="shared" si="20"/>
        <v>0</v>
      </c>
      <c r="I51" s="106">
        <f t="shared" si="14"/>
        <v>0</v>
      </c>
      <c r="J51" s="106">
        <f t="shared" si="15"/>
        <v>0</v>
      </c>
      <c r="K51" s="100">
        <f t="shared" si="2"/>
        <v>72533.47427766041</v>
      </c>
      <c r="L51" s="101">
        <f t="shared" si="21"/>
        <v>0</v>
      </c>
      <c r="M51" s="101">
        <f t="shared" si="16"/>
        <v>0</v>
      </c>
      <c r="N51" s="101">
        <f t="shared" si="17"/>
        <v>0</v>
      </c>
      <c r="O51" s="101">
        <f t="shared" si="18"/>
        <v>0</v>
      </c>
      <c r="P51" s="101">
        <f t="shared" si="19"/>
        <v>0</v>
      </c>
      <c r="Q51" s="102">
        <f t="shared" si="3"/>
        <v>6528.012684989437</v>
      </c>
      <c r="R51" s="102">
        <f t="shared" si="4"/>
        <v>5548.810782241021</v>
      </c>
      <c r="S51" s="103">
        <f t="shared" si="5"/>
        <v>4439.048625792817</v>
      </c>
      <c r="T51" s="103">
        <f t="shared" si="6"/>
        <v>5395.691348705081</v>
      </c>
      <c r="U51" s="104">
        <f t="shared" si="7"/>
        <v>72533.47427766041</v>
      </c>
      <c r="V51" s="104">
        <f t="shared" si="8"/>
        <v>0</v>
      </c>
      <c r="W51" s="105">
        <f t="shared" si="9"/>
        <v>0</v>
      </c>
    </row>
    <row r="52" spans="1:23" ht="12.75">
      <c r="A52" s="97">
        <f t="shared" si="10"/>
        <v>61</v>
      </c>
      <c r="B52" s="98">
        <f t="shared" si="11"/>
        <v>43604.651162790775</v>
      </c>
      <c r="C52" s="98">
        <f t="shared" si="22"/>
        <v>29545.45454545456</v>
      </c>
      <c r="D52" s="98">
        <f t="shared" si="12"/>
        <v>6583.509513742079</v>
      </c>
      <c r="E52" s="98">
        <f t="shared" si="13"/>
        <v>5595.983086680767</v>
      </c>
      <c r="F52" s="98">
        <f t="shared" si="0"/>
        <v>4476.786469344614</v>
      </c>
      <c r="G52" s="98">
        <f t="shared" si="1"/>
        <v>5182.439936575059</v>
      </c>
      <c r="H52" s="106">
        <f t="shared" si="20"/>
        <v>0</v>
      </c>
      <c r="I52" s="106">
        <f t="shared" si="14"/>
        <v>0</v>
      </c>
      <c r="J52" s="106">
        <f t="shared" si="15"/>
        <v>0</v>
      </c>
      <c r="K52" s="100">
        <f t="shared" si="2"/>
        <v>73150.10570824533</v>
      </c>
      <c r="L52" s="101">
        <f t="shared" si="21"/>
        <v>0</v>
      </c>
      <c r="M52" s="101">
        <f t="shared" si="16"/>
        <v>0</v>
      </c>
      <c r="N52" s="101">
        <f t="shared" si="17"/>
        <v>0</v>
      </c>
      <c r="O52" s="101">
        <f t="shared" si="18"/>
        <v>0</v>
      </c>
      <c r="P52" s="101">
        <f t="shared" si="19"/>
        <v>0</v>
      </c>
      <c r="Q52" s="102">
        <f t="shared" si="3"/>
        <v>6583.509513742079</v>
      </c>
      <c r="R52" s="102">
        <f t="shared" si="4"/>
        <v>5595.983086680767</v>
      </c>
      <c r="S52" s="103">
        <f t="shared" si="5"/>
        <v>4476.786469344614</v>
      </c>
      <c r="T52" s="103">
        <f t="shared" si="6"/>
        <v>5182.439936575059</v>
      </c>
      <c r="U52" s="104">
        <f t="shared" si="7"/>
        <v>73150.10570824533</v>
      </c>
      <c r="V52" s="104">
        <f t="shared" si="8"/>
        <v>0</v>
      </c>
      <c r="W52" s="105">
        <f t="shared" si="9"/>
        <v>0</v>
      </c>
    </row>
    <row r="53" spans="1:23" ht="12.75">
      <c r="A53" s="97">
        <f t="shared" si="10"/>
        <v>62</v>
      </c>
      <c r="B53" s="98">
        <f t="shared" si="11"/>
        <v>44069.767441860546</v>
      </c>
      <c r="C53" s="98">
        <f t="shared" si="22"/>
        <v>29696.96969696971</v>
      </c>
      <c r="D53" s="98">
        <f t="shared" si="12"/>
        <v>6639.006342494723</v>
      </c>
      <c r="E53" s="98">
        <f t="shared" si="13"/>
        <v>5643.155391120515</v>
      </c>
      <c r="F53" s="98">
        <f t="shared" si="0"/>
        <v>4514.524312896412</v>
      </c>
      <c r="G53" s="98">
        <f t="shared" si="1"/>
        <v>4977.263054968294</v>
      </c>
      <c r="H53" s="106">
        <f t="shared" si="20"/>
        <v>0</v>
      </c>
      <c r="I53" s="106">
        <f t="shared" si="14"/>
        <v>0</v>
      </c>
      <c r="J53" s="106">
        <f t="shared" si="15"/>
        <v>0</v>
      </c>
      <c r="K53" s="100">
        <f t="shared" si="2"/>
        <v>73766.73713883026</v>
      </c>
      <c r="L53" s="101">
        <f t="shared" si="21"/>
        <v>0</v>
      </c>
      <c r="M53" s="101">
        <f t="shared" si="16"/>
        <v>0</v>
      </c>
      <c r="N53" s="101">
        <f t="shared" si="17"/>
        <v>0</v>
      </c>
      <c r="O53" s="101">
        <f t="shared" si="18"/>
        <v>0</v>
      </c>
      <c r="P53" s="101">
        <f t="shared" si="19"/>
        <v>0</v>
      </c>
      <c r="Q53" s="102">
        <f t="shared" si="3"/>
        <v>6639.006342494723</v>
      </c>
      <c r="R53" s="102">
        <f t="shared" si="4"/>
        <v>5643.155391120515</v>
      </c>
      <c r="S53" s="103">
        <f t="shared" si="5"/>
        <v>4514.524312896412</v>
      </c>
      <c r="T53" s="103">
        <f t="shared" si="6"/>
        <v>4977.263054968294</v>
      </c>
      <c r="U53" s="104">
        <f t="shared" si="7"/>
        <v>73766.73713883026</v>
      </c>
      <c r="V53" s="104">
        <f t="shared" si="8"/>
        <v>0</v>
      </c>
      <c r="W53" s="105">
        <f t="shared" si="9"/>
        <v>0</v>
      </c>
    </row>
    <row r="54" spans="1:23" ht="12.75">
      <c r="A54" s="97">
        <f t="shared" si="10"/>
        <v>63</v>
      </c>
      <c r="B54" s="98">
        <f t="shared" si="11"/>
        <v>44534.88372093032</v>
      </c>
      <c r="C54" s="98">
        <f t="shared" si="22"/>
        <v>29848.484848484863</v>
      </c>
      <c r="D54" s="98">
        <f t="shared" si="12"/>
        <v>6694.503171247366</v>
      </c>
      <c r="E54" s="98">
        <f t="shared" si="13"/>
        <v>5690.3276955602605</v>
      </c>
      <c r="F54" s="98">
        <f t="shared" si="0"/>
        <v>4552.262156448209</v>
      </c>
      <c r="G54" s="98">
        <f t="shared" si="1"/>
        <v>4779.8752642706195</v>
      </c>
      <c r="H54" s="106">
        <f t="shared" si="20"/>
        <v>0</v>
      </c>
      <c r="I54" s="106">
        <f t="shared" si="14"/>
        <v>0</v>
      </c>
      <c r="J54" s="106">
        <f t="shared" si="15"/>
        <v>0</v>
      </c>
      <c r="K54" s="100">
        <f t="shared" si="2"/>
        <v>74383.36856941518</v>
      </c>
      <c r="L54" s="101">
        <f t="shared" si="21"/>
        <v>0</v>
      </c>
      <c r="M54" s="101">
        <f t="shared" si="16"/>
        <v>0</v>
      </c>
      <c r="N54" s="101">
        <f t="shared" si="17"/>
        <v>0</v>
      </c>
      <c r="O54" s="101">
        <f t="shared" si="18"/>
        <v>0</v>
      </c>
      <c r="P54" s="101">
        <f t="shared" si="19"/>
        <v>0</v>
      </c>
      <c r="Q54" s="102">
        <f t="shared" si="3"/>
        <v>6694.503171247366</v>
      </c>
      <c r="R54" s="102">
        <f t="shared" si="4"/>
        <v>5690.3276955602605</v>
      </c>
      <c r="S54" s="103">
        <f t="shared" si="5"/>
        <v>4552.262156448209</v>
      </c>
      <c r="T54" s="103">
        <f t="shared" si="6"/>
        <v>4779.8752642706195</v>
      </c>
      <c r="U54" s="104">
        <f t="shared" si="7"/>
        <v>74383.36856941518</v>
      </c>
      <c r="V54" s="104">
        <f t="shared" si="8"/>
        <v>0</v>
      </c>
      <c r="W54" s="105">
        <f t="shared" si="9"/>
        <v>0</v>
      </c>
    </row>
    <row r="55" spans="1:23" ht="12.75">
      <c r="A55" s="97">
        <f t="shared" si="10"/>
        <v>64</v>
      </c>
      <c r="B55" s="98">
        <v>45000</v>
      </c>
      <c r="C55" s="98">
        <v>30000</v>
      </c>
      <c r="D55" s="98">
        <f t="shared" si="12"/>
        <v>6750</v>
      </c>
      <c r="E55" s="98">
        <f t="shared" si="13"/>
        <v>5737.5</v>
      </c>
      <c r="F55" s="98">
        <f t="shared" si="0"/>
        <v>4590</v>
      </c>
      <c r="G55" s="98">
        <f t="shared" si="1"/>
        <v>4590</v>
      </c>
      <c r="H55" s="106">
        <f t="shared" si="20"/>
        <v>0</v>
      </c>
      <c r="I55" s="106">
        <f t="shared" si="14"/>
        <v>0</v>
      </c>
      <c r="J55" s="106">
        <f t="shared" si="15"/>
        <v>0</v>
      </c>
      <c r="K55" s="100">
        <f t="shared" si="2"/>
        <v>75000</v>
      </c>
      <c r="L55" s="101">
        <f t="shared" si="21"/>
        <v>0</v>
      </c>
      <c r="M55" s="101">
        <f t="shared" si="16"/>
        <v>0</v>
      </c>
      <c r="N55" s="101">
        <f t="shared" si="17"/>
        <v>0</v>
      </c>
      <c r="O55" s="101">
        <f t="shared" si="18"/>
        <v>0</v>
      </c>
      <c r="P55" s="101">
        <f t="shared" si="19"/>
        <v>0</v>
      </c>
      <c r="Q55" s="102">
        <f t="shared" si="3"/>
        <v>6750</v>
      </c>
      <c r="R55" s="102">
        <f t="shared" si="4"/>
        <v>5737.5</v>
      </c>
      <c r="S55" s="103">
        <f t="shared" si="5"/>
        <v>4590</v>
      </c>
      <c r="T55" s="103">
        <f t="shared" si="6"/>
        <v>4590</v>
      </c>
      <c r="U55" s="104">
        <f t="shared" si="7"/>
        <v>75000</v>
      </c>
      <c r="V55" s="104">
        <f t="shared" si="8"/>
        <v>0</v>
      </c>
      <c r="W55" s="105">
        <f t="shared" si="9"/>
        <v>0</v>
      </c>
    </row>
    <row r="56" spans="1:23" ht="12.75">
      <c r="A56" s="107"/>
      <c r="B56" s="108"/>
      <c r="C56" s="108"/>
      <c r="D56" s="109" t="s">
        <v>78</v>
      </c>
      <c r="E56" s="108"/>
      <c r="F56" s="108"/>
      <c r="G56" s="98">
        <f>SUM(G12:G55)</f>
        <v>488552.02162963495</v>
      </c>
      <c r="H56" s="106"/>
      <c r="I56" s="106"/>
      <c r="J56" s="106"/>
      <c r="K56" s="100"/>
      <c r="L56" s="101"/>
      <c r="M56" s="101"/>
      <c r="N56" s="101"/>
      <c r="O56" s="101"/>
      <c r="P56" s="101"/>
      <c r="Q56" s="102"/>
      <c r="R56" s="102"/>
      <c r="S56" s="103"/>
      <c r="T56" s="103">
        <f>SUM(T12:T55)</f>
        <v>263182.7325935423</v>
      </c>
      <c r="U56" s="104"/>
      <c r="V56" s="104"/>
      <c r="W56" s="105">
        <f>SUM(W12:W55)</f>
        <v>373746.8003223887</v>
      </c>
    </row>
    <row r="57" spans="5:23" ht="12.75">
      <c r="E57" s="110"/>
      <c r="F57" s="110"/>
      <c r="G57" s="111"/>
      <c r="H57" s="110"/>
      <c r="S57" s="112" t="s">
        <v>79</v>
      </c>
      <c r="T57" s="113">
        <f>G56-T56</f>
        <v>225369.28903609264</v>
      </c>
      <c r="U57" s="112"/>
      <c r="V57" s="112" t="s">
        <v>80</v>
      </c>
      <c r="W57" s="113">
        <f>W56</f>
        <v>373746.8003223887</v>
      </c>
    </row>
    <row r="58" spans="5:23" ht="12.75">
      <c r="E58" s="110"/>
      <c r="F58" s="110"/>
      <c r="G58" s="111"/>
      <c r="H58" s="110"/>
      <c r="S58" s="112"/>
      <c r="T58" s="113"/>
      <c r="U58" s="112"/>
      <c r="V58" s="112" t="s">
        <v>33</v>
      </c>
      <c r="W58" s="113">
        <f>W57-T57</f>
        <v>148377.51128629607</v>
      </c>
    </row>
  </sheetData>
  <sheetProtection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cp:lastPrinted>2002-06-03T03:38:16Z</cp:lastPrinted>
  <dcterms:created xsi:type="dcterms:W3CDTF">2002-03-17T10:59:04Z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